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g\Dropbox\phoa\P&amp;L Oct\"/>
    </mc:Choice>
  </mc:AlternateContent>
  <xr:revisionPtr revIDLastSave="0" documentId="8_{4EE187F3-6263-442A-A200-2670EEEF5F8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rofit and Los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8" i="1" l="1"/>
  <c r="L106" i="1"/>
  <c r="L107" i="1"/>
  <c r="L108" i="1"/>
  <c r="L109" i="1"/>
  <c r="L110" i="1"/>
  <c r="L29" i="1"/>
  <c r="C138" i="1"/>
  <c r="D138" i="1"/>
  <c r="E138" i="1"/>
  <c r="F138" i="1"/>
  <c r="G138" i="1"/>
  <c r="H138" i="1"/>
  <c r="I138" i="1"/>
  <c r="J138" i="1"/>
  <c r="B138" i="1"/>
  <c r="K22" i="1" l="1"/>
  <c r="K17" i="1"/>
  <c r="K8" i="1"/>
  <c r="K9" i="1"/>
  <c r="K130" i="1" l="1"/>
  <c r="J130" i="1"/>
  <c r="I130" i="1"/>
  <c r="H130" i="1"/>
  <c r="G130" i="1"/>
  <c r="F130" i="1"/>
  <c r="E130" i="1"/>
  <c r="D130" i="1"/>
  <c r="C130" i="1"/>
  <c r="B130" i="1"/>
  <c r="L130" i="1" s="1"/>
  <c r="L129" i="1"/>
  <c r="D129" i="1"/>
  <c r="K128" i="1"/>
  <c r="J128" i="1"/>
  <c r="I128" i="1"/>
  <c r="H128" i="1"/>
  <c r="E128" i="1"/>
  <c r="D128" i="1"/>
  <c r="L128" i="1" s="1"/>
  <c r="C128" i="1"/>
  <c r="B128" i="1"/>
  <c r="K127" i="1"/>
  <c r="I127" i="1"/>
  <c r="H127" i="1"/>
  <c r="F127" i="1"/>
  <c r="E127" i="1"/>
  <c r="D127" i="1"/>
  <c r="C127" i="1"/>
  <c r="B127" i="1"/>
  <c r="L127" i="1" s="1"/>
  <c r="H126" i="1"/>
  <c r="D126" i="1"/>
  <c r="K125" i="1"/>
  <c r="K126" i="1" s="1"/>
  <c r="J125" i="1"/>
  <c r="J126" i="1" s="1"/>
  <c r="I126" i="1"/>
  <c r="G125" i="1"/>
  <c r="G126" i="1" s="1"/>
  <c r="F125" i="1"/>
  <c r="F126" i="1" s="1"/>
  <c r="E125" i="1"/>
  <c r="E126" i="1" s="1"/>
  <c r="D125" i="1"/>
  <c r="C125" i="1"/>
  <c r="B125" i="1"/>
  <c r="L125" i="1" s="1"/>
  <c r="L124" i="1"/>
  <c r="L123" i="1"/>
  <c r="L122" i="1"/>
  <c r="C122" i="1"/>
  <c r="L121" i="1"/>
  <c r="C121" i="1"/>
  <c r="C126" i="1" s="1"/>
  <c r="L120" i="1"/>
  <c r="L119" i="1"/>
  <c r="H119" i="1"/>
  <c r="B126" i="1"/>
  <c r="L126" i="1" s="1"/>
  <c r="L118" i="1"/>
  <c r="J117" i="1"/>
  <c r="I117" i="1"/>
  <c r="H117" i="1"/>
  <c r="G117" i="1"/>
  <c r="F117" i="1"/>
  <c r="E117" i="1"/>
  <c r="D117" i="1"/>
  <c r="C117" i="1"/>
  <c r="B117" i="1"/>
  <c r="K117" i="1"/>
  <c r="L115" i="1"/>
  <c r="L114" i="1"/>
  <c r="L113" i="1"/>
  <c r="J113" i="1"/>
  <c r="I113" i="1"/>
  <c r="B113" i="1"/>
  <c r="L112" i="1"/>
  <c r="J112" i="1"/>
  <c r="K109" i="1"/>
  <c r="H109" i="1"/>
  <c r="C109" i="1"/>
  <c r="K108" i="1"/>
  <c r="K111" i="1" s="1"/>
  <c r="J108" i="1"/>
  <c r="I108" i="1"/>
  <c r="H108" i="1"/>
  <c r="G111" i="1"/>
  <c r="F108" i="1"/>
  <c r="E108" i="1"/>
  <c r="D108" i="1"/>
  <c r="C108" i="1"/>
  <c r="C111" i="1" s="1"/>
  <c r="B108" i="1"/>
  <c r="K107" i="1"/>
  <c r="J107" i="1"/>
  <c r="J111" i="1" s="1"/>
  <c r="I107" i="1"/>
  <c r="H107" i="1"/>
  <c r="F107" i="1"/>
  <c r="F111" i="1" s="1"/>
  <c r="E107" i="1"/>
  <c r="D107" i="1"/>
  <c r="C107" i="1"/>
  <c r="B107" i="1"/>
  <c r="B111" i="1" s="1"/>
  <c r="K106" i="1"/>
  <c r="J106" i="1"/>
  <c r="I106" i="1"/>
  <c r="H106" i="1"/>
  <c r="F106" i="1"/>
  <c r="E106" i="1"/>
  <c r="D106" i="1"/>
  <c r="C106" i="1"/>
  <c r="B106" i="1"/>
  <c r="K105" i="1"/>
  <c r="J105" i="1"/>
  <c r="I105" i="1"/>
  <c r="I111" i="1" s="1"/>
  <c r="H105" i="1"/>
  <c r="H111" i="1" s="1"/>
  <c r="G105" i="1"/>
  <c r="F105" i="1"/>
  <c r="E105" i="1"/>
  <c r="E111" i="1" s="1"/>
  <c r="D105" i="1"/>
  <c r="D111" i="1" s="1"/>
  <c r="C105" i="1"/>
  <c r="L104" i="1"/>
  <c r="L102" i="1"/>
  <c r="L101" i="1"/>
  <c r="K100" i="1"/>
  <c r="J100" i="1"/>
  <c r="I100" i="1"/>
  <c r="G100" i="1"/>
  <c r="F100" i="1"/>
  <c r="E100" i="1"/>
  <c r="B100" i="1"/>
  <c r="L100" i="1" s="1"/>
  <c r="K99" i="1"/>
  <c r="F99" i="1"/>
  <c r="E99" i="1"/>
  <c r="B99" i="1"/>
  <c r="L99" i="1" s="1"/>
  <c r="K98" i="1"/>
  <c r="F98" i="1"/>
  <c r="E98" i="1"/>
  <c r="L98" i="1"/>
  <c r="K97" i="1"/>
  <c r="F97" i="1"/>
  <c r="E97" i="1"/>
  <c r="D97" i="1"/>
  <c r="C97" i="1"/>
  <c r="B97" i="1"/>
  <c r="L97" i="1" s="1"/>
  <c r="L96" i="1"/>
  <c r="K96" i="1"/>
  <c r="K95" i="1"/>
  <c r="J95" i="1"/>
  <c r="I95" i="1"/>
  <c r="G95" i="1"/>
  <c r="D95" i="1"/>
  <c r="C95" i="1"/>
  <c r="B95" i="1"/>
  <c r="L95" i="1" s="1"/>
  <c r="L94" i="1"/>
  <c r="K94" i="1"/>
  <c r="K93" i="1"/>
  <c r="J93" i="1"/>
  <c r="I93" i="1"/>
  <c r="H93" i="1"/>
  <c r="H103" i="1" s="1"/>
  <c r="G93" i="1"/>
  <c r="F93" i="1"/>
  <c r="E93" i="1"/>
  <c r="D93" i="1"/>
  <c r="L93" i="1" s="1"/>
  <c r="C93" i="1"/>
  <c r="B93" i="1"/>
  <c r="K92" i="1"/>
  <c r="K103" i="1" s="1"/>
  <c r="J92" i="1"/>
  <c r="I92" i="1"/>
  <c r="H92" i="1"/>
  <c r="G92" i="1"/>
  <c r="G103" i="1" s="1"/>
  <c r="F92" i="1"/>
  <c r="E92" i="1"/>
  <c r="D92" i="1"/>
  <c r="C92" i="1"/>
  <c r="C103" i="1" s="1"/>
  <c r="B92" i="1"/>
  <c r="L92" i="1" s="1"/>
  <c r="K91" i="1"/>
  <c r="J91" i="1"/>
  <c r="J103" i="1" s="1"/>
  <c r="I91" i="1"/>
  <c r="I103" i="1" s="1"/>
  <c r="H91" i="1"/>
  <c r="G91" i="1"/>
  <c r="F91" i="1"/>
  <c r="F103" i="1" s="1"/>
  <c r="E91" i="1"/>
  <c r="E103" i="1" s="1"/>
  <c r="D91" i="1"/>
  <c r="C91" i="1"/>
  <c r="B91" i="1"/>
  <c r="L91" i="1" s="1"/>
  <c r="L90" i="1"/>
  <c r="B103" i="1"/>
  <c r="L89" i="1"/>
  <c r="D88" i="1"/>
  <c r="I87" i="1"/>
  <c r="H87" i="1"/>
  <c r="G87" i="1"/>
  <c r="E87" i="1"/>
  <c r="D87" i="1"/>
  <c r="C87" i="1"/>
  <c r="L87" i="1" s="1"/>
  <c r="B87" i="1"/>
  <c r="K86" i="1"/>
  <c r="I86" i="1"/>
  <c r="H86" i="1"/>
  <c r="F86" i="1"/>
  <c r="E86" i="1"/>
  <c r="D86" i="1"/>
  <c r="C86" i="1"/>
  <c r="B86" i="1"/>
  <c r="I85" i="1"/>
  <c r="H85" i="1"/>
  <c r="C85" i="1"/>
  <c r="C88" i="1" s="1"/>
  <c r="J84" i="1"/>
  <c r="H84" i="1"/>
  <c r="G84" i="1"/>
  <c r="E84" i="1"/>
  <c r="D84" i="1"/>
  <c r="B84" i="1"/>
  <c r="L84" i="1" s="1"/>
  <c r="K83" i="1"/>
  <c r="J83" i="1"/>
  <c r="I83" i="1"/>
  <c r="H83" i="1"/>
  <c r="L83" i="1" s="1"/>
  <c r="G83" i="1"/>
  <c r="I82" i="1"/>
  <c r="G82" i="1"/>
  <c r="F82" i="1"/>
  <c r="K81" i="1"/>
  <c r="K88" i="1" s="1"/>
  <c r="H81" i="1"/>
  <c r="G81" i="1"/>
  <c r="E81" i="1"/>
  <c r="E88" i="1" s="1"/>
  <c r="L81" i="1"/>
  <c r="J80" i="1"/>
  <c r="G80" i="1"/>
  <c r="F80" i="1"/>
  <c r="L80" i="1"/>
  <c r="J79" i="1"/>
  <c r="J88" i="1" s="1"/>
  <c r="F79" i="1"/>
  <c r="L79" i="1"/>
  <c r="K78" i="1"/>
  <c r="I78" i="1"/>
  <c r="I88" i="1" s="1"/>
  <c r="H78" i="1"/>
  <c r="B78" i="1"/>
  <c r="L78" i="1" s="1"/>
  <c r="L77" i="1"/>
  <c r="L75" i="1"/>
  <c r="K74" i="1"/>
  <c r="J74" i="1"/>
  <c r="I74" i="1"/>
  <c r="H74" i="1"/>
  <c r="G74" i="1"/>
  <c r="D74" i="1"/>
  <c r="C74" i="1"/>
  <c r="B74" i="1"/>
  <c r="L74" i="1" s="1"/>
  <c r="I73" i="1"/>
  <c r="G73" i="1"/>
  <c r="E73" i="1"/>
  <c r="L73" i="1"/>
  <c r="H72" i="1"/>
  <c r="G72" i="1"/>
  <c r="E72" i="1"/>
  <c r="D72" i="1"/>
  <c r="L72" i="1"/>
  <c r="L71" i="1"/>
  <c r="E71" i="1"/>
  <c r="K70" i="1"/>
  <c r="J70" i="1"/>
  <c r="I70" i="1"/>
  <c r="H70" i="1"/>
  <c r="G70" i="1"/>
  <c r="F70" i="1"/>
  <c r="E70" i="1"/>
  <c r="D70" i="1"/>
  <c r="L70" i="1" s="1"/>
  <c r="C70" i="1"/>
  <c r="B70" i="1"/>
  <c r="K69" i="1"/>
  <c r="K76" i="1" s="1"/>
  <c r="J69" i="1"/>
  <c r="I69" i="1"/>
  <c r="H69" i="1"/>
  <c r="G69" i="1"/>
  <c r="G76" i="1" s="1"/>
  <c r="F69" i="1"/>
  <c r="E69" i="1"/>
  <c r="D69" i="1"/>
  <c r="C69" i="1"/>
  <c r="C76" i="1" s="1"/>
  <c r="B69" i="1"/>
  <c r="K68" i="1"/>
  <c r="J68" i="1"/>
  <c r="I68" i="1"/>
  <c r="H68" i="1"/>
  <c r="F68" i="1"/>
  <c r="F76" i="1" s="1"/>
  <c r="E68" i="1"/>
  <c r="D68" i="1"/>
  <c r="C68" i="1"/>
  <c r="B68" i="1"/>
  <c r="L68" i="1" s="1"/>
  <c r="K67" i="1"/>
  <c r="J67" i="1"/>
  <c r="H67" i="1"/>
  <c r="H76" i="1" s="1"/>
  <c r="F67" i="1"/>
  <c r="E67" i="1"/>
  <c r="E76" i="1" s="1"/>
  <c r="D67" i="1"/>
  <c r="C67" i="1"/>
  <c r="B67" i="1"/>
  <c r="K66" i="1"/>
  <c r="J66" i="1"/>
  <c r="J76" i="1" s="1"/>
  <c r="I66" i="1"/>
  <c r="I76" i="1" s="1"/>
  <c r="D66" i="1"/>
  <c r="D76" i="1" s="1"/>
  <c r="C66" i="1"/>
  <c r="B66" i="1"/>
  <c r="F65" i="1"/>
  <c r="L65" i="1" s="1"/>
  <c r="H64" i="1"/>
  <c r="L63" i="1"/>
  <c r="L62" i="1"/>
  <c r="K61" i="1"/>
  <c r="I61" i="1"/>
  <c r="H61" i="1"/>
  <c r="G61" i="1"/>
  <c r="F61" i="1"/>
  <c r="E61" i="1"/>
  <c r="C61" i="1"/>
  <c r="B61" i="1"/>
  <c r="L61" i="1" s="1"/>
  <c r="L60" i="1"/>
  <c r="L59" i="1"/>
  <c r="K58" i="1"/>
  <c r="J58" i="1"/>
  <c r="I58" i="1"/>
  <c r="G58" i="1"/>
  <c r="L58" i="1" s="1"/>
  <c r="D58" i="1"/>
  <c r="L57" i="1"/>
  <c r="J56" i="1"/>
  <c r="I56" i="1"/>
  <c r="L56" i="1"/>
  <c r="K55" i="1"/>
  <c r="L55" i="1"/>
  <c r="L54" i="1"/>
  <c r="L53" i="1"/>
  <c r="L52" i="1"/>
  <c r="K51" i="1"/>
  <c r="F51" i="1"/>
  <c r="B51" i="1"/>
  <c r="F50" i="1"/>
  <c r="L50" i="1"/>
  <c r="L49" i="1"/>
  <c r="L48" i="1"/>
  <c r="K47" i="1"/>
  <c r="I47" i="1"/>
  <c r="H47" i="1"/>
  <c r="G47" i="1"/>
  <c r="F47" i="1"/>
  <c r="E47" i="1"/>
  <c r="C47" i="1"/>
  <c r="B47" i="1"/>
  <c r="L46" i="1"/>
  <c r="J45" i="1"/>
  <c r="J47" i="1" s="1"/>
  <c r="D45" i="1"/>
  <c r="C45" i="1"/>
  <c r="K44" i="1"/>
  <c r="K64" i="1" s="1"/>
  <c r="J44" i="1"/>
  <c r="I44" i="1"/>
  <c r="I64" i="1" s="1"/>
  <c r="G44" i="1"/>
  <c r="G64" i="1" s="1"/>
  <c r="F44" i="1"/>
  <c r="F64" i="1" s="1"/>
  <c r="E44" i="1"/>
  <c r="E64" i="1" s="1"/>
  <c r="D44" i="1"/>
  <c r="C44" i="1"/>
  <c r="C64" i="1" s="1"/>
  <c r="C131" i="1" s="1"/>
  <c r="B44" i="1"/>
  <c r="L43" i="1"/>
  <c r="J39" i="1"/>
  <c r="G39" i="1"/>
  <c r="D39" i="1"/>
  <c r="L39" i="1" s="1"/>
  <c r="B39" i="1"/>
  <c r="K38" i="1"/>
  <c r="J38" i="1"/>
  <c r="I38" i="1"/>
  <c r="E38" i="1"/>
  <c r="C38" i="1"/>
  <c r="B38" i="1"/>
  <c r="J37" i="1"/>
  <c r="B37" i="1"/>
  <c r="K36" i="1"/>
  <c r="J36" i="1"/>
  <c r="H36" i="1"/>
  <c r="G36" i="1"/>
  <c r="D36" i="1"/>
  <c r="C36" i="1"/>
  <c r="B36" i="1"/>
  <c r="L36" i="1" s="1"/>
  <c r="J35" i="1"/>
  <c r="I35" i="1"/>
  <c r="F37" i="1"/>
  <c r="D35" i="1"/>
  <c r="C35" i="1"/>
  <c r="B35" i="1"/>
  <c r="D34" i="1"/>
  <c r="C34" i="1"/>
  <c r="L34" i="1" s="1"/>
  <c r="B34" i="1"/>
  <c r="L33" i="1"/>
  <c r="K32" i="1"/>
  <c r="K37" i="1" s="1"/>
  <c r="J32" i="1"/>
  <c r="I37" i="1"/>
  <c r="H32" i="1"/>
  <c r="G32" i="1"/>
  <c r="G37" i="1" s="1"/>
  <c r="E32" i="1"/>
  <c r="D32" i="1"/>
  <c r="L32" i="1" s="1"/>
  <c r="C32" i="1"/>
  <c r="B32" i="1"/>
  <c r="E31" i="1"/>
  <c r="E37" i="1" s="1"/>
  <c r="D31" i="1"/>
  <c r="D37" i="1" s="1"/>
  <c r="C31" i="1"/>
  <c r="B31" i="1"/>
  <c r="L31" i="1" s="1"/>
  <c r="L30" i="1"/>
  <c r="E30" i="1"/>
  <c r="K29" i="1"/>
  <c r="G29" i="1"/>
  <c r="K28" i="1"/>
  <c r="J29" i="1"/>
  <c r="I29" i="1"/>
  <c r="H28" i="1"/>
  <c r="G28" i="1"/>
  <c r="F29" i="1"/>
  <c r="E28" i="1"/>
  <c r="D28" i="1"/>
  <c r="C28" i="1"/>
  <c r="B28" i="1"/>
  <c r="L28" i="1" s="1"/>
  <c r="K27" i="1"/>
  <c r="J27" i="1"/>
  <c r="H27" i="1"/>
  <c r="H29" i="1" s="1"/>
  <c r="G27" i="1"/>
  <c r="E27" i="1"/>
  <c r="E29" i="1" s="1"/>
  <c r="D27" i="1"/>
  <c r="D29" i="1" s="1"/>
  <c r="C27" i="1"/>
  <c r="C29" i="1" s="1"/>
  <c r="B27" i="1"/>
  <c r="L27" i="1" s="1"/>
  <c r="L26" i="1"/>
  <c r="K25" i="1"/>
  <c r="J25" i="1"/>
  <c r="I25" i="1"/>
  <c r="H25" i="1"/>
  <c r="G25" i="1"/>
  <c r="F25" i="1"/>
  <c r="E25" i="1"/>
  <c r="C25" i="1"/>
  <c r="L24" i="1"/>
  <c r="L23" i="1"/>
  <c r="J22" i="1"/>
  <c r="F22" i="1"/>
  <c r="D22" i="1"/>
  <c r="D25" i="1" s="1"/>
  <c r="C22" i="1"/>
  <c r="B22" i="1"/>
  <c r="L21" i="1"/>
  <c r="I20" i="1"/>
  <c r="L19" i="1"/>
  <c r="K18" i="1"/>
  <c r="J18" i="1"/>
  <c r="J20" i="1" s="1"/>
  <c r="H18" i="1"/>
  <c r="E18" i="1"/>
  <c r="D18" i="1"/>
  <c r="C18" i="1"/>
  <c r="B18" i="1"/>
  <c r="L18" i="1" s="1"/>
  <c r="K20" i="1"/>
  <c r="H20" i="1"/>
  <c r="G20" i="1"/>
  <c r="F20" i="1"/>
  <c r="E17" i="1"/>
  <c r="E20" i="1" s="1"/>
  <c r="D17" i="1"/>
  <c r="D20" i="1" s="1"/>
  <c r="C17" i="1"/>
  <c r="C20" i="1" s="1"/>
  <c r="B17" i="1"/>
  <c r="L16" i="1"/>
  <c r="J15" i="1"/>
  <c r="I15" i="1"/>
  <c r="E15" i="1"/>
  <c r="B15" i="1"/>
  <c r="L14" i="1"/>
  <c r="L13" i="1"/>
  <c r="L12" i="1"/>
  <c r="B11" i="1"/>
  <c r="K10" i="1"/>
  <c r="E10" i="1"/>
  <c r="D10" i="1"/>
  <c r="L10" i="1" s="1"/>
  <c r="C10" i="1"/>
  <c r="B10" i="1"/>
  <c r="G9" i="1"/>
  <c r="E9" i="1"/>
  <c r="D9" i="1"/>
  <c r="C9" i="1"/>
  <c r="L9" i="1" s="1"/>
  <c r="K15" i="1"/>
  <c r="H15" i="1"/>
  <c r="G15" i="1"/>
  <c r="F15" i="1"/>
  <c r="D15" i="1"/>
  <c r="C15" i="1"/>
  <c r="L7" i="1"/>
  <c r="L117" i="1" l="1"/>
  <c r="K131" i="1"/>
  <c r="E131" i="1"/>
  <c r="I131" i="1"/>
  <c r="K40" i="1"/>
  <c r="K41" i="1" s="1"/>
  <c r="J40" i="1"/>
  <c r="J41" i="1" s="1"/>
  <c r="I40" i="1"/>
  <c r="I41" i="1" s="1"/>
  <c r="G40" i="1"/>
  <c r="G41" i="1" s="1"/>
  <c r="F40" i="1"/>
  <c r="F41" i="1" s="1"/>
  <c r="E40" i="1"/>
  <c r="E41" i="1" s="1"/>
  <c r="D47" i="1"/>
  <c r="D64" i="1" s="1"/>
  <c r="L45" i="1"/>
  <c r="L47" i="1"/>
  <c r="D40" i="1"/>
  <c r="D41" i="1" s="1"/>
  <c r="L15" i="1"/>
  <c r="B20" i="1"/>
  <c r="L20" i="1" s="1"/>
  <c r="B25" i="1"/>
  <c r="L25" i="1" s="1"/>
  <c r="H37" i="1"/>
  <c r="L35" i="1"/>
  <c r="L38" i="1"/>
  <c r="B64" i="1"/>
  <c r="L44" i="1"/>
  <c r="J64" i="1"/>
  <c r="J131" i="1" s="1"/>
  <c r="L67" i="1"/>
  <c r="B76" i="1"/>
  <c r="L76" i="1" s="1"/>
  <c r="L66" i="1"/>
  <c r="L111" i="1"/>
  <c r="H40" i="1"/>
  <c r="H41" i="1" s="1"/>
  <c r="B29" i="1"/>
  <c r="L8" i="1"/>
  <c r="L11" i="1"/>
  <c r="L17" i="1"/>
  <c r="L22" i="1"/>
  <c r="C37" i="1"/>
  <c r="C40" i="1" s="1"/>
  <c r="C41" i="1" s="1"/>
  <c r="C132" i="1" s="1"/>
  <c r="C133" i="1" s="1"/>
  <c r="L51" i="1"/>
  <c r="L69" i="1"/>
  <c r="H88" i="1"/>
  <c r="H131" i="1" s="1"/>
  <c r="F88" i="1"/>
  <c r="F131" i="1" s="1"/>
  <c r="G88" i="1"/>
  <c r="G131" i="1" s="1"/>
  <c r="L82" i="1"/>
  <c r="L86" i="1"/>
  <c r="D103" i="1"/>
  <c r="L103" i="1" s="1"/>
  <c r="L105" i="1"/>
  <c r="L116" i="1"/>
  <c r="L85" i="1"/>
  <c r="B88" i="1"/>
  <c r="K132" i="1" l="1"/>
  <c r="K133" i="1" s="1"/>
  <c r="E132" i="1"/>
  <c r="E133" i="1" s="1"/>
  <c r="I132" i="1"/>
  <c r="I133" i="1" s="1"/>
  <c r="L88" i="1"/>
  <c r="J132" i="1"/>
  <c r="J133" i="1" s="1"/>
  <c r="G132" i="1"/>
  <c r="G133" i="1" s="1"/>
  <c r="L37" i="1"/>
  <c r="D131" i="1"/>
  <c r="D132" i="1" s="1"/>
  <c r="D133" i="1" s="1"/>
  <c r="B131" i="1"/>
  <c r="L64" i="1"/>
  <c r="B40" i="1"/>
  <c r="F132" i="1"/>
  <c r="F133" i="1" s="1"/>
  <c r="H132" i="1"/>
  <c r="H133" i="1" s="1"/>
  <c r="L131" i="1" l="1"/>
  <c r="L40" i="1"/>
  <c r="B41" i="1"/>
  <c r="B132" i="1" l="1"/>
  <c r="L41" i="1"/>
  <c r="B133" i="1" l="1"/>
  <c r="L133" i="1" s="1"/>
  <c r="L132" i="1"/>
</calcChain>
</file>

<file path=xl/sharedStrings.xml><?xml version="1.0" encoding="utf-8"?>
<sst xmlns="http://schemas.openxmlformats.org/spreadsheetml/2006/main" count="159" uniqueCount="145">
  <si>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</si>
  <si>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</si>
  <si>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</si>
  <si>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</si>
  <si>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</si>
  <si>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</si>
  <si>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</si>
  <si>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</si>
  <si>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</si>
  <si>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</si>
  <si>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Total</t>
  </si>
  <si>
    <t>Income</t>
  </si>
  <si>
    <t xml:space="preserve">   10000 Homeowners</t>
  </si>
  <si>
    <t xml:space="preserve">      10001 PHOA Assessments Members</t>
  </si>
  <si>
    <t xml:space="preserve">      10002 Late Fees</t>
  </si>
  <si>
    <t xml:space="preserve">      10003 Interest</t>
  </si>
  <si>
    <t xml:space="preserve">      10004. Prepaid Assessments.</t>
  </si>
  <si>
    <t xml:space="preserve">      10005 Assesments Legal Action</t>
  </si>
  <si>
    <t xml:space="preserve">      10006 Late Fees Legal Action</t>
  </si>
  <si>
    <t xml:space="preserve">      10007 Interest Legal Action</t>
  </si>
  <si>
    <t xml:space="preserve">   Total 10000 Homeowners</t>
  </si>
  <si>
    <t xml:space="preserve">   10500 Fines &amp; Fees</t>
  </si>
  <si>
    <t xml:space="preserve">      10501 Lawn &amp; Trash (5 day)</t>
  </si>
  <si>
    <t xml:space="preserve">      10502 Vehicles</t>
  </si>
  <si>
    <t xml:space="preserve">      10503 Other Fines or Fees</t>
  </si>
  <si>
    <t xml:space="preserve">   Total 10500 Fines &amp; Fees</t>
  </si>
  <si>
    <t xml:space="preserve">   11000 Facility Rental</t>
  </si>
  <si>
    <t xml:space="preserve">      11001 Big Ballroom</t>
  </si>
  <si>
    <t xml:space="preserve">      11002 Small Ballroom</t>
  </si>
  <si>
    <t xml:space="preserve">      11003 Other Rental</t>
  </si>
  <si>
    <t xml:space="preserve">   Total 11000 Facility Rental</t>
  </si>
  <si>
    <t xml:space="preserve">   12000 Home Sales/Construc.</t>
  </si>
  <si>
    <t xml:space="preserve">      12001 Construction charges</t>
  </si>
  <si>
    <t xml:space="preserve">      12002 Resale Certificate</t>
  </si>
  <si>
    <t xml:space="preserve">   Total 12000 Home Sales/Construc.</t>
  </si>
  <si>
    <t xml:space="preserve">   13000 Miscellaneous</t>
  </si>
  <si>
    <t xml:space="preserve">      13001 I.D Cards</t>
  </si>
  <si>
    <t xml:space="preserve">      13002 Remote Control</t>
  </si>
  <si>
    <t xml:space="preserve">      13003 Vending Income</t>
  </si>
  <si>
    <t xml:space="preserve">      13004 Renters Stickers</t>
  </si>
  <si>
    <t xml:space="preserve">      13005 handling Fee</t>
  </si>
  <si>
    <t xml:space="preserve">      13006 Other Miscellaneous</t>
  </si>
  <si>
    <t xml:space="preserve">   Total 13000 Miscellaneous</t>
  </si>
  <si>
    <t xml:space="preserve">   14000 VIP MEMBER</t>
  </si>
  <si>
    <t xml:space="preserve">   16000 Attorney Collections</t>
  </si>
  <si>
    <t>Total Income</t>
  </si>
  <si>
    <t>Gross Profit</t>
  </si>
  <si>
    <t>Expenses</t>
  </si>
  <si>
    <t xml:space="preserve">   50000 Common Grounds</t>
  </si>
  <si>
    <t xml:space="preserve">      50001 Activity Center</t>
  </si>
  <si>
    <t xml:space="preserve">      50002 Pool Area</t>
  </si>
  <si>
    <t xml:space="preserve">         Pool Deck Repair</t>
  </si>
  <si>
    <t xml:space="preserve">      Total 50002 Pool Area</t>
  </si>
  <si>
    <t xml:space="preserve">      50003 Ballroom Big</t>
  </si>
  <si>
    <t xml:space="preserve">      50004 Ballroom Small</t>
  </si>
  <si>
    <t xml:space="preserve">      50005 Ballroom Deposit Return</t>
  </si>
  <si>
    <t xml:space="preserve">      50006 Construction Deposit Returns</t>
  </si>
  <si>
    <t xml:space="preserve">      50007 BBQ Pit Area</t>
  </si>
  <si>
    <t xml:space="preserve">      50008 Soccer Area</t>
  </si>
  <si>
    <t xml:space="preserve">      50009 Basketball Area</t>
  </si>
  <si>
    <t xml:space="preserve">      50010 Mainternance Bldg</t>
  </si>
  <si>
    <t xml:space="preserve">      50011 Guard House</t>
  </si>
  <si>
    <t xml:space="preserve">      50012 Mayor Road</t>
  </si>
  <si>
    <t xml:space="preserve">      50013 Minor Road</t>
  </si>
  <si>
    <t xml:space="preserve">      50014 Fences</t>
  </si>
  <si>
    <t xml:space="preserve">      50015 Landscaping</t>
  </si>
  <si>
    <t xml:space="preserve">      50017. Contract Mowing</t>
  </si>
  <si>
    <t xml:space="preserve">      50018 Other Contract Services</t>
  </si>
  <si>
    <t xml:space="preserve">      50019 Advertising &amp; Publications</t>
  </si>
  <si>
    <t xml:space="preserve">   Total 50000 Common Grounds</t>
  </si>
  <si>
    <t xml:space="preserve">   50100 Supplies</t>
  </si>
  <si>
    <t xml:space="preserve">      50101 Pool Chemicals</t>
  </si>
  <si>
    <t xml:space="preserve">      50102 General Cleaning</t>
  </si>
  <si>
    <t xml:space="preserve">      50103. Office</t>
  </si>
  <si>
    <t xml:space="preserve">      50104. Dues &amp; Subscriptions</t>
  </si>
  <si>
    <t xml:space="preserve">      50105. Postage</t>
  </si>
  <si>
    <t xml:space="preserve">      50106 Uniforms</t>
  </si>
  <si>
    <t xml:space="preserve">      50107 Computer/Cameras/Sound</t>
  </si>
  <si>
    <t xml:space="preserve">      50108 Remote Controls</t>
  </si>
  <si>
    <t xml:space="preserve">      50109 Coffee &amp; Snacks</t>
  </si>
  <si>
    <t xml:space="preserve">      50110 Medical Prescriptions</t>
  </si>
  <si>
    <t xml:space="preserve">   Total 50100 Supplies</t>
  </si>
  <si>
    <t xml:space="preserve">   50200 Vehicles/Gasoline/Oil</t>
  </si>
  <si>
    <t xml:space="preserve">      50201 Vehicle Purchase (All</t>
  </si>
  <si>
    <t xml:space="preserve">      50202 Yard Asset Equipment</t>
  </si>
  <si>
    <t xml:space="preserve">      50203 Other Equipment &amp; Tools</t>
  </si>
  <si>
    <t xml:space="preserve">      50204 Vehicle Maintenance (ALL)</t>
  </si>
  <si>
    <t xml:space="preserve">      50205.. Yard Equipment Maint.</t>
  </si>
  <si>
    <t xml:space="preserve">      50206. Other Equipment Maint</t>
  </si>
  <si>
    <t xml:space="preserve">      50207. Gasoline/ Oil Automobile</t>
  </si>
  <si>
    <t xml:space="preserve">      50208. Gasoline/ Oil Carts</t>
  </si>
  <si>
    <t xml:space="preserve">      50209 Gasoline/Oil Lawn</t>
  </si>
  <si>
    <t xml:space="preserve">      50210 Travel/Mileage</t>
  </si>
  <si>
    <t xml:space="preserve">   Total 50200 Vehicles/Gasoline/Oil</t>
  </si>
  <si>
    <t xml:space="preserve">   50300 Utilities</t>
  </si>
  <si>
    <t xml:space="preserve">      50301 Telephone AT&amp;T</t>
  </si>
  <si>
    <t xml:space="preserve">      50302 Texas Natural Gas</t>
  </si>
  <si>
    <t xml:space="preserve">      50303 Time Warner Cable, Internet</t>
  </si>
  <si>
    <t xml:space="preserve">      50304 Waste Management</t>
  </si>
  <si>
    <t xml:space="preserve">      50305 Water City of Pharr 50-5105-01</t>
  </si>
  <si>
    <t xml:space="preserve">      50306 Water City of Pharr 50-5450-02</t>
  </si>
  <si>
    <t xml:space="preserve">      50307 Water City of Pharr 50-0110-02</t>
  </si>
  <si>
    <t xml:space="preserve">      50308 Energy 2801 Scage</t>
  </si>
  <si>
    <t xml:space="preserve">      50309 Energy 600 Plantation</t>
  </si>
  <si>
    <t xml:space="preserve">      50310 Energy 2801 Tara Dr</t>
  </si>
  <si>
    <t xml:space="preserve">      50311 Energy Street Lights</t>
  </si>
  <si>
    <t xml:space="preserve">      50312 Reliant Energy Street Lights</t>
  </si>
  <si>
    <t xml:space="preserve">      50313 Pest Control/ All Buildings</t>
  </si>
  <si>
    <t xml:space="preserve">   Total 50300 Utilities</t>
  </si>
  <si>
    <t xml:space="preserve">   50400 Payroll</t>
  </si>
  <si>
    <t xml:space="preserve">      50401 Office</t>
  </si>
  <si>
    <t xml:space="preserve">      50402 Maintenance</t>
  </si>
  <si>
    <t xml:space="preserve">      50403 Staff</t>
  </si>
  <si>
    <t xml:space="preserve">      50404 Asphalt</t>
  </si>
  <si>
    <t xml:space="preserve">      50406 Taxes</t>
  </si>
  <si>
    <t xml:space="preserve">      50407 Misc. Payroll &amp; Bonus</t>
  </si>
  <si>
    <t xml:space="preserve">   Total 50400 Payroll</t>
  </si>
  <si>
    <t xml:space="preserve">   50408. Lone Star Bank/Chargeback</t>
  </si>
  <si>
    <t xml:space="preserve">   50409 Meals</t>
  </si>
  <si>
    <t xml:space="preserve">   50410 Heartland/Merchant/Fees</t>
  </si>
  <si>
    <t xml:space="preserve">   50427 Equipment Repair &amp; Parts mowers</t>
  </si>
  <si>
    <t xml:space="preserve">      50428 Equipment Repair</t>
  </si>
  <si>
    <t xml:space="preserve">   Total 50427 Equipment Repair &amp; Parts mowers</t>
  </si>
  <si>
    <t xml:space="preserve">   50500 Professional services</t>
  </si>
  <si>
    <t xml:space="preserve">      50501 Attorney, General</t>
  </si>
  <si>
    <t xml:space="preserve">      50502 Attorney, Collections</t>
  </si>
  <si>
    <t xml:space="preserve">      50503 Accounting</t>
  </si>
  <si>
    <t xml:space="preserve">      50504 Accounting Audit</t>
  </si>
  <si>
    <t xml:space="preserve">      50505 Security Licence</t>
  </si>
  <si>
    <t xml:space="preserve">      50506 Other Business Licenses</t>
  </si>
  <si>
    <t xml:space="preserve">      50507 Other Security Services</t>
  </si>
  <si>
    <t xml:space="preserve">   Total 50500 Professional services</t>
  </si>
  <si>
    <t xml:space="preserve">   50600 Petty Cash</t>
  </si>
  <si>
    <t xml:space="preserve">   50700 Insurance</t>
  </si>
  <si>
    <t xml:space="preserve">   50800 Property Taxes</t>
  </si>
  <si>
    <t xml:space="preserve">   50900 QuickBooks Merchant/Fees</t>
  </si>
  <si>
    <t>Total Expenses</t>
  </si>
  <si>
    <t>Net Operating Income</t>
  </si>
  <si>
    <t>PHOA</t>
  </si>
  <si>
    <t>Profit and Loss</t>
  </si>
  <si>
    <t>January - October, 2020</t>
  </si>
  <si>
    <t>diference from previous.</t>
  </si>
  <si>
    <t>Previously reported Net Op Income</t>
  </si>
  <si>
    <t>Net Income in October reported</t>
  </si>
  <si>
    <t>Last month we reported 724.22 dollars more than this month. The difference is in May, June and August.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</si>
</sst>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_(&quot;$&quot;* #,##0_);_(&quot;$&quot;* \(#,##0\);_(&quot;$&quot;* &quot;-&quot;??_);_(@_)"/>
  </numFmts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right" wrapText="1"/>
    </xf>
    <xf numFmtId="165" fontId="2" fillId="2" borderId="2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right" wrapText="1"/>
    </xf>
    <xf numFmtId="165" fontId="2" fillId="3" borderId="2" xfId="0" applyNumberFormat="1" applyFont="1" applyFill="1" applyBorder="1" applyAlignment="1">
      <alignment horizontal="right" wrapText="1"/>
    </xf>
    <xf numFmtId="165" fontId="2" fillId="3" borderId="3" xfId="0" applyNumberFormat="1" applyFont="1" applyFill="1" applyBorder="1" applyAlignment="1">
      <alignment horizontal="right" wrapText="1"/>
    </xf>
    <xf numFmtId="0" fontId="0" fillId="3" borderId="0" xfId="0" applyFill="1"/>
    <xf numFmtId="165" fontId="1" fillId="0" borderId="2" xfId="0" applyNumberFormat="1" applyFont="1" applyBorder="1" applyAlignment="1">
      <alignment horizontal="right" wrapText="1"/>
    </xf>
    <xf numFmtId="165" fontId="1" fillId="3" borderId="2" xfId="0" applyNumberFormat="1" applyFont="1" applyFill="1" applyBorder="1" applyAlignment="1">
      <alignment horizontal="right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164" fontId="3" fillId="0" borderId="0" xfId="0" applyNumberFormat="1" applyFont="1" applyFill="1" applyAlignment="1">
      <alignment horizontal="right" wrapText="1"/>
    </xf>
    <xf numFmtId="166" fontId="7" fillId="2" borderId="4" xfId="1" applyNumberFormat="1" applyFont="1" applyFill="1" applyBorder="1" applyAlignment="1">
      <alignment horizontal="right" shrinkToFit="1"/>
    </xf>
    <xf numFmtId="0" fontId="0" fillId="2" borderId="0" xfId="0" applyFill="1"/>
    <xf numFmtId="0" fontId="3" fillId="2" borderId="0" xfId="0" applyFont="1" applyFill="1" applyAlignment="1"/>
    <xf numFmtId="0" fontId="0" fillId="2" borderId="0" xfId="0" applyFill="1" applyAlignment="1"/>
    <xf numFmtId="44" fontId="8" fillId="2" borderId="0" xfId="0" applyNumberFormat="1" applyFont="1" applyFill="1"/>
    <xf numFmtId="0" fontId="9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2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tabSelected="1" topLeftCell="A133" workbookViewId="0">
      <selection activeCell="E141" sqref="E141"/>
    </sheetView>
  </sheetViews>
  <sheetFormatPr defaultRowHeight="14.4" x14ac:dyDescent="0.3"/>
  <cols>
    <col min="1" max="1" width="36" customWidth="1"/>
    <col min="2" max="3" width="9.44140625" customWidth="1"/>
    <col min="4" max="4" width="10.33203125" customWidth="1"/>
    <col min="5" max="5" width="9.44140625" customWidth="1"/>
    <col min="6" max="6" width="12.44140625" customWidth="1"/>
    <col min="7" max="7" width="9.44140625" customWidth="1"/>
    <col min="8" max="8" width="11.109375" customWidth="1"/>
    <col min="9" max="10" width="9.44140625" customWidth="1"/>
    <col min="11" max="11" width="10.33203125" style="17" customWidth="1"/>
    <col min="12" max="12" width="10.33203125" customWidth="1"/>
  </cols>
  <sheetData>
    <row r="1" spans="1:12" ht="17.399999999999999" x14ac:dyDescent="0.3">
      <c r="A1" s="20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7.399999999999999" x14ac:dyDescent="0.3">
      <c r="A2" s="20" t="s">
        <v>139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">
      <c r="A3" s="22" t="s">
        <v>140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12" t="s">
        <v>9</v>
      </c>
      <c r="L5" s="2" t="s">
        <v>10</v>
      </c>
    </row>
    <row r="6" spans="1:12" x14ac:dyDescent="0.3">
      <c r="A6" s="3" t="s">
        <v>11</v>
      </c>
      <c r="B6" s="4"/>
      <c r="C6" s="4"/>
      <c r="D6" s="4"/>
      <c r="E6" s="4"/>
      <c r="F6" s="4"/>
      <c r="G6" s="4"/>
      <c r="H6" s="4"/>
      <c r="I6" s="4"/>
      <c r="J6" s="4"/>
      <c r="K6" s="13"/>
      <c r="L6" s="4"/>
    </row>
    <row r="7" spans="1:12" x14ac:dyDescent="0.3">
      <c r="A7" s="3" t="s">
        <v>12</v>
      </c>
      <c r="B7" s="4"/>
      <c r="C7" s="4"/>
      <c r="D7" s="4"/>
      <c r="E7" s="4"/>
      <c r="F7" s="4"/>
      <c r="G7" s="4"/>
      <c r="H7" s="4"/>
      <c r="I7" s="4"/>
      <c r="J7" s="4"/>
      <c r="K7" s="13"/>
      <c r="L7" s="5">
        <f t="shared" ref="L7:L41" si="0">(((((((((B7)+(C7))+(D7))+(E7))+(F7))+(G7))+(H7))+(I7))+(J7))+(K7)</f>
        <v>0</v>
      </c>
    </row>
    <row r="8" spans="1:12" x14ac:dyDescent="0.3">
      <c r="A8" s="3" t="s">
        <v>13</v>
      </c>
      <c r="B8" s="5">
        <v>35629.9</v>
      </c>
      <c r="C8" s="5">
        <v>28250.33</v>
      </c>
      <c r="D8" s="5">
        <v>45118.35</v>
      </c>
      <c r="E8" s="5">
        <v>40512.089999999997</v>
      </c>
      <c r="F8" s="5">
        <v>43571.89</v>
      </c>
      <c r="G8" s="5">
        <v>44041.68</v>
      </c>
      <c r="H8" s="5">
        <v>32908.5</v>
      </c>
      <c r="I8" s="5">
        <v>47416.28</v>
      </c>
      <c r="J8" s="5">
        <v>32812.160000000003</v>
      </c>
      <c r="K8" s="14">
        <f>44075.33</f>
        <v>44075.33</v>
      </c>
      <c r="L8" s="5">
        <f t="shared" si="0"/>
        <v>394336.51000000007</v>
      </c>
    </row>
    <row r="9" spans="1:12" x14ac:dyDescent="0.3">
      <c r="A9" s="3" t="s">
        <v>14</v>
      </c>
      <c r="B9" s="5">
        <v>4260.4799999999996</v>
      </c>
      <c r="C9" s="5">
        <f>4209.97</f>
        <v>4209.97</v>
      </c>
      <c r="D9" s="5">
        <f>5320.72</f>
        <v>5320.72</v>
      </c>
      <c r="E9" s="5">
        <f>1248.63</f>
        <v>1248.6300000000001</v>
      </c>
      <c r="F9" s="5">
        <v>887.58</v>
      </c>
      <c r="G9" s="5">
        <f>1125.88</f>
        <v>1125.8800000000001</v>
      </c>
      <c r="H9" s="5">
        <v>593.53</v>
      </c>
      <c r="I9" s="5">
        <v>1490.04</v>
      </c>
      <c r="J9" s="5">
        <v>945</v>
      </c>
      <c r="K9" s="14">
        <f>1006.97</f>
        <v>1006.97</v>
      </c>
      <c r="L9" s="5">
        <f t="shared" si="0"/>
        <v>21088.800000000003</v>
      </c>
    </row>
    <row r="10" spans="1:12" x14ac:dyDescent="0.3">
      <c r="A10" s="3" t="s">
        <v>15</v>
      </c>
      <c r="B10" s="5">
        <f>901.43</f>
        <v>901.43</v>
      </c>
      <c r="C10" s="5">
        <f>1026.09</f>
        <v>1026.0899999999999</v>
      </c>
      <c r="D10" s="5">
        <f>2774.06</f>
        <v>2774.06</v>
      </c>
      <c r="E10" s="5">
        <f>567.85</f>
        <v>567.85</v>
      </c>
      <c r="F10" s="5">
        <v>489.47</v>
      </c>
      <c r="G10" s="5">
        <v>834.05</v>
      </c>
      <c r="H10" s="5">
        <v>474.22</v>
      </c>
      <c r="I10" s="5">
        <v>1347.24</v>
      </c>
      <c r="J10" s="5">
        <v>1026.72</v>
      </c>
      <c r="K10" s="14">
        <f>699.79</f>
        <v>699.79</v>
      </c>
      <c r="L10" s="5">
        <f t="shared" si="0"/>
        <v>10140.920000000002</v>
      </c>
    </row>
    <row r="11" spans="1:12" x14ac:dyDescent="0.3">
      <c r="A11" s="3" t="s">
        <v>16</v>
      </c>
      <c r="B11" s="5">
        <f>15285.62</f>
        <v>15285.62</v>
      </c>
      <c r="C11" s="5">
        <v>205.88</v>
      </c>
      <c r="D11" s="4"/>
      <c r="E11" s="5">
        <v>2380.9</v>
      </c>
      <c r="F11" s="4"/>
      <c r="G11" s="5">
        <v>0</v>
      </c>
      <c r="H11" s="5">
        <v>0</v>
      </c>
      <c r="I11" s="4"/>
      <c r="J11" s="4"/>
      <c r="K11" s="13"/>
      <c r="L11" s="5">
        <f t="shared" si="0"/>
        <v>17872.400000000001</v>
      </c>
    </row>
    <row r="12" spans="1:12" x14ac:dyDescent="0.3">
      <c r="A12" s="3" t="s">
        <v>17</v>
      </c>
      <c r="B12" s="5">
        <v>0</v>
      </c>
      <c r="C12" s="4"/>
      <c r="D12" s="4"/>
      <c r="E12" s="4"/>
      <c r="F12" s="4"/>
      <c r="G12" s="4"/>
      <c r="H12" s="4"/>
      <c r="I12" s="4"/>
      <c r="J12" s="4"/>
      <c r="K12" s="13"/>
      <c r="L12" s="5">
        <f t="shared" si="0"/>
        <v>0</v>
      </c>
    </row>
    <row r="13" spans="1:12" x14ac:dyDescent="0.3">
      <c r="A13" s="3" t="s">
        <v>18</v>
      </c>
      <c r="B13" s="5">
        <v>0</v>
      </c>
      <c r="C13" s="4"/>
      <c r="D13" s="4"/>
      <c r="E13" s="4"/>
      <c r="F13" s="4"/>
      <c r="G13" s="4"/>
      <c r="H13" s="4"/>
      <c r="I13" s="4"/>
      <c r="J13" s="4"/>
      <c r="K13" s="13"/>
      <c r="L13" s="5">
        <f t="shared" si="0"/>
        <v>0</v>
      </c>
    </row>
    <row r="14" spans="1:12" x14ac:dyDescent="0.3">
      <c r="A14" s="3" t="s">
        <v>19</v>
      </c>
      <c r="B14" s="5">
        <v>0</v>
      </c>
      <c r="C14" s="4"/>
      <c r="D14" s="4"/>
      <c r="E14" s="4"/>
      <c r="F14" s="4"/>
      <c r="G14" s="4"/>
      <c r="H14" s="4"/>
      <c r="I14" s="4"/>
      <c r="J14" s="4"/>
      <c r="K14" s="13"/>
      <c r="L14" s="5">
        <f t="shared" si="0"/>
        <v>0</v>
      </c>
    </row>
    <row r="15" spans="1:12" x14ac:dyDescent="0.3">
      <c r="A15" s="3" t="s">
        <v>20</v>
      </c>
      <c r="B15" s="6">
        <f t="shared" ref="B15:K15" si="1">(((((((B7)+(B8))+(B9))+(B10))+(B11))+(B12))+(B13))+(B14)</f>
        <v>56077.430000000008</v>
      </c>
      <c r="C15" s="6">
        <f t="shared" si="1"/>
        <v>33692.269999999997</v>
      </c>
      <c r="D15" s="6">
        <f t="shared" si="1"/>
        <v>53213.13</v>
      </c>
      <c r="E15" s="6">
        <f t="shared" si="1"/>
        <v>44709.469999999994</v>
      </c>
      <c r="F15" s="6">
        <f t="shared" si="1"/>
        <v>44948.94</v>
      </c>
      <c r="G15" s="6">
        <f t="shared" si="1"/>
        <v>46001.61</v>
      </c>
      <c r="H15" s="6">
        <f t="shared" si="1"/>
        <v>33976.25</v>
      </c>
      <c r="I15" s="6">
        <f t="shared" si="1"/>
        <v>50253.56</v>
      </c>
      <c r="J15" s="6">
        <f t="shared" si="1"/>
        <v>34783.880000000005</v>
      </c>
      <c r="K15" s="15">
        <f t="shared" si="1"/>
        <v>45782.090000000004</v>
      </c>
      <c r="L15" s="6">
        <f t="shared" si="0"/>
        <v>443438.63000000006</v>
      </c>
    </row>
    <row r="16" spans="1:12" x14ac:dyDescent="0.3">
      <c r="A16" s="3" t="s">
        <v>21</v>
      </c>
      <c r="B16" s="4"/>
      <c r="C16" s="4"/>
      <c r="D16" s="4"/>
      <c r="E16" s="4"/>
      <c r="F16" s="4"/>
      <c r="G16" s="4"/>
      <c r="H16" s="4"/>
      <c r="I16" s="4"/>
      <c r="J16" s="4"/>
      <c r="K16" s="13"/>
      <c r="L16" s="5">
        <f t="shared" si="0"/>
        <v>0</v>
      </c>
    </row>
    <row r="17" spans="1:12" x14ac:dyDescent="0.3">
      <c r="A17" s="3" t="s">
        <v>22</v>
      </c>
      <c r="B17" s="5">
        <f>1081.1</f>
        <v>1081.0999999999999</v>
      </c>
      <c r="C17" s="5">
        <f>266.2</f>
        <v>266.2</v>
      </c>
      <c r="D17" s="5">
        <f>1625.2</f>
        <v>1625.2</v>
      </c>
      <c r="E17" s="5">
        <f>834.8</f>
        <v>834.8</v>
      </c>
      <c r="F17" s="5">
        <v>1214.2</v>
      </c>
      <c r="G17" s="5">
        <v>1508.47</v>
      </c>
      <c r="H17" s="5">
        <v>486.2</v>
      </c>
      <c r="I17" s="5">
        <v>1185.2</v>
      </c>
      <c r="J17" s="5">
        <v>143.19999999999999</v>
      </c>
      <c r="K17" s="14">
        <f>1531.2</f>
        <v>1531.2</v>
      </c>
      <c r="L17" s="5">
        <f t="shared" si="0"/>
        <v>9875.7700000000023</v>
      </c>
    </row>
    <row r="18" spans="1:12" x14ac:dyDescent="0.3">
      <c r="A18" s="3" t="s">
        <v>23</v>
      </c>
      <c r="B18" s="5">
        <f>144.9</f>
        <v>144.9</v>
      </c>
      <c r="C18" s="5">
        <f>10536.46</f>
        <v>10536.46</v>
      </c>
      <c r="D18" s="5">
        <f>525.44</f>
        <v>525.44000000000005</v>
      </c>
      <c r="E18" s="5">
        <f>137.45</f>
        <v>137.44999999999999</v>
      </c>
      <c r="F18" s="5">
        <v>410.79</v>
      </c>
      <c r="G18" s="5">
        <v>627.79</v>
      </c>
      <c r="H18" s="5">
        <f>156.7</f>
        <v>156.69999999999999</v>
      </c>
      <c r="I18" s="5">
        <v>1129.3</v>
      </c>
      <c r="J18" s="5">
        <f>556</f>
        <v>556</v>
      </c>
      <c r="K18" s="14">
        <f>1169.87</f>
        <v>1169.8699999999999</v>
      </c>
      <c r="L18" s="5">
        <f t="shared" si="0"/>
        <v>15394.7</v>
      </c>
    </row>
    <row r="19" spans="1:12" x14ac:dyDescent="0.3">
      <c r="A19" s="3" t="s">
        <v>24</v>
      </c>
      <c r="B19" s="5">
        <v>0</v>
      </c>
      <c r="C19" s="4"/>
      <c r="D19" s="4"/>
      <c r="E19" s="4"/>
      <c r="F19" s="4"/>
      <c r="G19" s="4"/>
      <c r="H19" s="4"/>
      <c r="I19" s="4"/>
      <c r="J19" s="4"/>
      <c r="K19" s="13"/>
      <c r="L19" s="5">
        <f t="shared" si="0"/>
        <v>0</v>
      </c>
    </row>
    <row r="20" spans="1:12" x14ac:dyDescent="0.3">
      <c r="A20" s="3" t="s">
        <v>25</v>
      </c>
      <c r="B20" s="6">
        <f t="shared" ref="B20:K20" si="2">(((B16)+(B17))+(B18))+(B19)</f>
        <v>1226</v>
      </c>
      <c r="C20" s="6">
        <f t="shared" si="2"/>
        <v>10802.66</v>
      </c>
      <c r="D20" s="6">
        <f t="shared" si="2"/>
        <v>2150.6400000000003</v>
      </c>
      <c r="E20" s="6">
        <f t="shared" si="2"/>
        <v>972.25</v>
      </c>
      <c r="F20" s="6">
        <f t="shared" si="2"/>
        <v>1624.99</v>
      </c>
      <c r="G20" s="6">
        <f t="shared" si="2"/>
        <v>2136.2600000000002</v>
      </c>
      <c r="H20" s="6">
        <f t="shared" si="2"/>
        <v>642.9</v>
      </c>
      <c r="I20" s="6">
        <f t="shared" si="2"/>
        <v>2314.5</v>
      </c>
      <c r="J20" s="6">
        <f t="shared" si="2"/>
        <v>699.2</v>
      </c>
      <c r="K20" s="15">
        <f t="shared" si="2"/>
        <v>2701.0699999999997</v>
      </c>
      <c r="L20" s="6">
        <f t="shared" si="0"/>
        <v>25270.470000000005</v>
      </c>
    </row>
    <row r="21" spans="1:12" x14ac:dyDescent="0.3">
      <c r="A21" s="3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13"/>
      <c r="L21" s="5">
        <f t="shared" si="0"/>
        <v>0</v>
      </c>
    </row>
    <row r="22" spans="1:12" x14ac:dyDescent="0.3">
      <c r="A22" s="3" t="s">
        <v>27</v>
      </c>
      <c r="B22" s="5">
        <f>1400</f>
        <v>1400</v>
      </c>
      <c r="C22" s="5">
        <f>2300</f>
        <v>2300</v>
      </c>
      <c r="D22" s="5">
        <f>250</f>
        <v>250</v>
      </c>
      <c r="E22" s="4"/>
      <c r="F22" s="5">
        <f>10</f>
        <v>10</v>
      </c>
      <c r="G22" s="4"/>
      <c r="H22" s="4"/>
      <c r="I22" s="4"/>
      <c r="J22" s="5">
        <f>260</f>
        <v>260</v>
      </c>
      <c r="K22" s="14">
        <f>1060</f>
        <v>1060</v>
      </c>
      <c r="L22" s="5">
        <f t="shared" si="0"/>
        <v>5280</v>
      </c>
    </row>
    <row r="23" spans="1:12" x14ac:dyDescent="0.3">
      <c r="A23" s="3" t="s">
        <v>28</v>
      </c>
      <c r="B23" s="5">
        <v>0</v>
      </c>
      <c r="C23" s="4"/>
      <c r="D23" s="4"/>
      <c r="E23" s="4"/>
      <c r="F23" s="4"/>
      <c r="G23" s="4"/>
      <c r="H23" s="4"/>
      <c r="I23" s="4"/>
      <c r="J23" s="4"/>
      <c r="K23" s="13"/>
      <c r="L23" s="5">
        <f t="shared" si="0"/>
        <v>0</v>
      </c>
    </row>
    <row r="24" spans="1:12" x14ac:dyDescent="0.3">
      <c r="A24" s="3" t="s">
        <v>29</v>
      </c>
      <c r="B24" s="5">
        <v>0</v>
      </c>
      <c r="C24" s="4"/>
      <c r="D24" s="4"/>
      <c r="E24" s="4"/>
      <c r="F24" s="4"/>
      <c r="G24" s="4"/>
      <c r="H24" s="4"/>
      <c r="I24" s="4"/>
      <c r="J24" s="4"/>
      <c r="K24" s="13"/>
      <c r="L24" s="5">
        <f t="shared" si="0"/>
        <v>0</v>
      </c>
    </row>
    <row r="25" spans="1:12" x14ac:dyDescent="0.3">
      <c r="A25" s="3" t="s">
        <v>30</v>
      </c>
      <c r="B25" s="6">
        <f t="shared" ref="B25:K25" si="3">(((B21)+(B22))+(B23))+(B24)</f>
        <v>1400</v>
      </c>
      <c r="C25" s="6">
        <f t="shared" si="3"/>
        <v>2300</v>
      </c>
      <c r="D25" s="6">
        <f t="shared" si="3"/>
        <v>250</v>
      </c>
      <c r="E25" s="6">
        <f t="shared" si="3"/>
        <v>0</v>
      </c>
      <c r="F25" s="6">
        <f t="shared" si="3"/>
        <v>10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260</v>
      </c>
      <c r="K25" s="15">
        <f t="shared" si="3"/>
        <v>1060</v>
      </c>
      <c r="L25" s="6">
        <f t="shared" si="0"/>
        <v>5280</v>
      </c>
    </row>
    <row r="26" spans="1:12" x14ac:dyDescent="0.3">
      <c r="A26" s="3" t="s">
        <v>31</v>
      </c>
      <c r="B26" s="4"/>
      <c r="C26" s="4"/>
      <c r="D26" s="4"/>
      <c r="E26" s="4"/>
      <c r="F26" s="4"/>
      <c r="G26" s="4"/>
      <c r="H26" s="4"/>
      <c r="I26" s="4"/>
      <c r="J26" s="4"/>
      <c r="K26" s="13"/>
      <c r="L26" s="5">
        <f t="shared" si="0"/>
        <v>0</v>
      </c>
    </row>
    <row r="27" spans="1:12" x14ac:dyDescent="0.3">
      <c r="A27" s="3" t="s">
        <v>32</v>
      </c>
      <c r="B27" s="5">
        <f>5000</f>
        <v>5000</v>
      </c>
      <c r="C27" s="5">
        <f>1000</f>
        <v>1000</v>
      </c>
      <c r="D27" s="5">
        <f>1000</f>
        <v>1000</v>
      </c>
      <c r="E27" s="5">
        <f>1000</f>
        <v>1000</v>
      </c>
      <c r="F27" s="4"/>
      <c r="G27" s="5">
        <f>1000</f>
        <v>1000</v>
      </c>
      <c r="H27" s="5">
        <f>1000</f>
        <v>1000</v>
      </c>
      <c r="I27" s="4"/>
      <c r="J27" s="5">
        <f>3000</f>
        <v>3000</v>
      </c>
      <c r="K27" s="14">
        <f>1000</f>
        <v>1000</v>
      </c>
      <c r="L27" s="5">
        <f t="shared" si="0"/>
        <v>14000</v>
      </c>
    </row>
    <row r="28" spans="1:12" x14ac:dyDescent="0.3">
      <c r="A28" s="3" t="s">
        <v>33</v>
      </c>
      <c r="B28" s="5">
        <f>2925.2</f>
        <v>2925.2</v>
      </c>
      <c r="C28" s="5">
        <f>2377.8</f>
        <v>2377.8000000000002</v>
      </c>
      <c r="D28" s="5">
        <f>2270</f>
        <v>2270</v>
      </c>
      <c r="E28" s="5">
        <f>1250</f>
        <v>1250</v>
      </c>
      <c r="F28" s="5">
        <v>537.6</v>
      </c>
      <c r="G28" s="5">
        <f>750</f>
        <v>750</v>
      </c>
      <c r="H28" s="5">
        <f>2750</f>
        <v>2750</v>
      </c>
      <c r="I28" s="5">
        <v>2006</v>
      </c>
      <c r="J28" s="5">
        <v>2710</v>
      </c>
      <c r="K28" s="14">
        <f>1770</f>
        <v>1770</v>
      </c>
      <c r="L28" s="5">
        <f t="shared" si="0"/>
        <v>19346.599999999999</v>
      </c>
    </row>
    <row r="29" spans="1:12" x14ac:dyDescent="0.3">
      <c r="A29" s="3" t="s">
        <v>34</v>
      </c>
      <c r="B29" s="6">
        <f t="shared" ref="B29:K29" si="4">((B26)+(B27))+(B28)</f>
        <v>7925.2</v>
      </c>
      <c r="C29" s="6">
        <f t="shared" si="4"/>
        <v>3377.8</v>
      </c>
      <c r="D29" s="6">
        <f t="shared" si="4"/>
        <v>3270</v>
      </c>
      <c r="E29" s="6">
        <f t="shared" si="4"/>
        <v>2250</v>
      </c>
      <c r="F29" s="6">
        <f t="shared" si="4"/>
        <v>537.6</v>
      </c>
      <c r="G29" s="6">
        <f t="shared" si="4"/>
        <v>1750</v>
      </c>
      <c r="H29" s="6">
        <f t="shared" si="4"/>
        <v>3750</v>
      </c>
      <c r="I29" s="6">
        <f t="shared" si="4"/>
        <v>2006</v>
      </c>
      <c r="J29" s="6">
        <f t="shared" si="4"/>
        <v>5710</v>
      </c>
      <c r="K29" s="15">
        <f t="shared" si="4"/>
        <v>2770</v>
      </c>
      <c r="L29" s="6">
        <f>(((((((((B29)+(C29))+(D29))+(E29))+(F29))+(G29))+(H29))+(I29))+(J29))+(K29)</f>
        <v>33346.6</v>
      </c>
    </row>
    <row r="30" spans="1:12" x14ac:dyDescent="0.3">
      <c r="A30" s="3" t="s">
        <v>35</v>
      </c>
      <c r="B30" s="4"/>
      <c r="C30" s="4"/>
      <c r="D30" s="4"/>
      <c r="E30" s="5">
        <f>360</f>
        <v>360</v>
      </c>
      <c r="F30" s="4"/>
      <c r="G30" s="4"/>
      <c r="H30" s="4"/>
      <c r="I30" s="4"/>
      <c r="J30" s="4"/>
      <c r="K30" s="13"/>
      <c r="L30" s="5">
        <f t="shared" si="0"/>
        <v>360</v>
      </c>
    </row>
    <row r="31" spans="1:12" x14ac:dyDescent="0.3">
      <c r="A31" s="3" t="s">
        <v>36</v>
      </c>
      <c r="B31" s="5">
        <f>35</f>
        <v>35</v>
      </c>
      <c r="C31" s="5">
        <f>70</f>
        <v>70</v>
      </c>
      <c r="D31" s="5">
        <f>110</f>
        <v>110</v>
      </c>
      <c r="E31" s="5">
        <f>20</f>
        <v>20</v>
      </c>
      <c r="F31" s="4"/>
      <c r="G31" s="4"/>
      <c r="H31" s="4"/>
      <c r="I31" s="4"/>
      <c r="J31" s="4"/>
      <c r="K31" s="13"/>
      <c r="L31" s="5">
        <f t="shared" si="0"/>
        <v>235</v>
      </c>
    </row>
    <row r="32" spans="1:12" x14ac:dyDescent="0.3">
      <c r="A32" s="3" t="s">
        <v>37</v>
      </c>
      <c r="B32" s="5">
        <f>291.8</f>
        <v>291.8</v>
      </c>
      <c r="C32" s="5">
        <f>301.2</f>
        <v>301.2</v>
      </c>
      <c r="D32" s="5">
        <f>51.2</f>
        <v>51.2</v>
      </c>
      <c r="E32" s="5">
        <f>211.2</f>
        <v>211.2</v>
      </c>
      <c r="F32" s="5">
        <v>631.20000000000005</v>
      </c>
      <c r="G32" s="5">
        <f>631.2</f>
        <v>631.20000000000005</v>
      </c>
      <c r="H32" s="5">
        <f>421.2</f>
        <v>421.2</v>
      </c>
      <c r="I32" s="5">
        <v>2830.2</v>
      </c>
      <c r="J32" s="5">
        <f>2783.2</f>
        <v>2783.2</v>
      </c>
      <c r="K32" s="14">
        <f>1194.53</f>
        <v>1194.53</v>
      </c>
      <c r="L32" s="5">
        <f t="shared" si="0"/>
        <v>9346.93</v>
      </c>
    </row>
    <row r="33" spans="1:12" x14ac:dyDescent="0.3">
      <c r="A33" s="3" t="s">
        <v>38</v>
      </c>
      <c r="B33" s="5">
        <v>0</v>
      </c>
      <c r="C33" s="4"/>
      <c r="D33" s="4"/>
      <c r="E33" s="4"/>
      <c r="F33" s="4"/>
      <c r="G33" s="4"/>
      <c r="H33" s="4"/>
      <c r="I33" s="4"/>
      <c r="J33" s="4"/>
      <c r="K33" s="13"/>
      <c r="L33" s="5">
        <f t="shared" si="0"/>
        <v>0</v>
      </c>
    </row>
    <row r="34" spans="1:12" x14ac:dyDescent="0.3">
      <c r="A34" s="3" t="s">
        <v>39</v>
      </c>
      <c r="B34" s="5">
        <f>50.3</f>
        <v>50.3</v>
      </c>
      <c r="C34" s="5">
        <f>22.9</f>
        <v>22.9</v>
      </c>
      <c r="D34" s="5">
        <f>75</f>
        <v>75</v>
      </c>
      <c r="E34" s="4"/>
      <c r="F34" s="5">
        <v>0</v>
      </c>
      <c r="G34" s="5">
        <v>0</v>
      </c>
      <c r="H34" s="4"/>
      <c r="I34" s="4"/>
      <c r="J34" s="4"/>
      <c r="K34" s="13"/>
      <c r="L34" s="5">
        <f t="shared" si="0"/>
        <v>148.19999999999999</v>
      </c>
    </row>
    <row r="35" spans="1:12" x14ac:dyDescent="0.3">
      <c r="A35" s="3" t="s">
        <v>40</v>
      </c>
      <c r="B35" s="5">
        <f>50</f>
        <v>50</v>
      </c>
      <c r="C35" s="5">
        <f>25</f>
        <v>25</v>
      </c>
      <c r="D35" s="5">
        <f>75</f>
        <v>75</v>
      </c>
      <c r="E35" s="4"/>
      <c r="F35" s="5">
        <v>0</v>
      </c>
      <c r="G35" s="4"/>
      <c r="H35" s="4"/>
      <c r="I35" s="5">
        <f>25</f>
        <v>25</v>
      </c>
      <c r="J35" s="5">
        <f>25</f>
        <v>25</v>
      </c>
      <c r="K35" s="13"/>
      <c r="L35" s="5">
        <f t="shared" si="0"/>
        <v>200</v>
      </c>
    </row>
    <row r="36" spans="1:12" x14ac:dyDescent="0.3">
      <c r="A36" s="3" t="s">
        <v>41</v>
      </c>
      <c r="B36" s="5">
        <f>258.19</f>
        <v>258.19</v>
      </c>
      <c r="C36" s="5">
        <f>7267.47</f>
        <v>7267.47</v>
      </c>
      <c r="D36" s="5">
        <f>-7222.47</f>
        <v>-7222.47</v>
      </c>
      <c r="E36" s="4"/>
      <c r="F36" s="5">
        <v>0</v>
      </c>
      <c r="G36" s="5">
        <f>1991.8</f>
        <v>1991.8</v>
      </c>
      <c r="H36" s="5">
        <f>304.3</f>
        <v>304.3</v>
      </c>
      <c r="I36" s="4"/>
      <c r="J36" s="5">
        <f>200</f>
        <v>200</v>
      </c>
      <c r="K36" s="14">
        <f>14.59</f>
        <v>14.59</v>
      </c>
      <c r="L36" s="5">
        <f t="shared" si="0"/>
        <v>2813.88</v>
      </c>
    </row>
    <row r="37" spans="1:12" x14ac:dyDescent="0.3">
      <c r="A37" s="3" t="s">
        <v>42</v>
      </c>
      <c r="B37" s="6">
        <f t="shared" ref="B37:K37" si="5">((((((B30)+(B31))+(B32))+(B33))+(B34))+(B35))+(B36)</f>
        <v>685.29</v>
      </c>
      <c r="C37" s="6">
        <f t="shared" si="5"/>
        <v>7686.5700000000006</v>
      </c>
      <c r="D37" s="6">
        <f t="shared" si="5"/>
        <v>-6911.27</v>
      </c>
      <c r="E37" s="6">
        <f t="shared" si="5"/>
        <v>591.20000000000005</v>
      </c>
      <c r="F37" s="6">
        <f t="shared" si="5"/>
        <v>631.20000000000005</v>
      </c>
      <c r="G37" s="6">
        <f t="shared" si="5"/>
        <v>2623</v>
      </c>
      <c r="H37" s="6">
        <f t="shared" si="5"/>
        <v>725.5</v>
      </c>
      <c r="I37" s="6">
        <f t="shared" si="5"/>
        <v>2855.2</v>
      </c>
      <c r="J37" s="6">
        <f t="shared" si="5"/>
        <v>3008.2</v>
      </c>
      <c r="K37" s="15">
        <f t="shared" si="5"/>
        <v>1209.1199999999999</v>
      </c>
      <c r="L37" s="6">
        <f t="shared" si="0"/>
        <v>13104.009999999998</v>
      </c>
    </row>
    <row r="38" spans="1:12" x14ac:dyDescent="0.3">
      <c r="A38" s="3" t="s">
        <v>43</v>
      </c>
      <c r="B38" s="5">
        <f>3324.6</f>
        <v>3324.6</v>
      </c>
      <c r="C38" s="5">
        <f>3111.57</f>
        <v>3111.57</v>
      </c>
      <c r="D38" s="5">
        <v>3633.43</v>
      </c>
      <c r="E38" s="5">
        <f>3369.9</f>
        <v>3369.9</v>
      </c>
      <c r="F38" s="5">
        <v>4479</v>
      </c>
      <c r="G38" s="5">
        <v>4427</v>
      </c>
      <c r="H38" s="5">
        <v>3627.04</v>
      </c>
      <c r="I38" s="5">
        <f>3230.5</f>
        <v>3230.5</v>
      </c>
      <c r="J38" s="5">
        <f>4076.3</f>
        <v>4076.3</v>
      </c>
      <c r="K38" s="14">
        <f>3551.15</f>
        <v>3551.15</v>
      </c>
      <c r="L38" s="5">
        <f t="shared" si="0"/>
        <v>36830.490000000005</v>
      </c>
    </row>
    <row r="39" spans="1:12" x14ac:dyDescent="0.3">
      <c r="A39" s="3" t="s">
        <v>44</v>
      </c>
      <c r="B39" s="5">
        <f>1000</f>
        <v>1000</v>
      </c>
      <c r="C39" s="4"/>
      <c r="D39" s="5">
        <f>-399.5</f>
        <v>-399.5</v>
      </c>
      <c r="E39" s="4"/>
      <c r="F39" s="5">
        <v>0</v>
      </c>
      <c r="G39" s="5">
        <f>314</f>
        <v>314</v>
      </c>
      <c r="H39" s="4"/>
      <c r="I39" s="4"/>
      <c r="J39" s="5">
        <f>418</f>
        <v>418</v>
      </c>
      <c r="K39" s="13"/>
      <c r="L39" s="5">
        <f t="shared" si="0"/>
        <v>1332.5</v>
      </c>
    </row>
    <row r="40" spans="1:12" x14ac:dyDescent="0.3">
      <c r="A40" s="3" t="s">
        <v>45</v>
      </c>
      <c r="B40" s="6">
        <f t="shared" ref="B40:K40" si="6">((((((B15)+(B20))+(B25))+(B29))+(B37))+(B38))+(B39)</f>
        <v>71638.52</v>
      </c>
      <c r="C40" s="6">
        <f t="shared" si="6"/>
        <v>60970.869999999995</v>
      </c>
      <c r="D40" s="6">
        <f t="shared" si="6"/>
        <v>55206.43</v>
      </c>
      <c r="E40" s="6">
        <f t="shared" si="6"/>
        <v>51892.819999999992</v>
      </c>
      <c r="F40" s="6">
        <f t="shared" si="6"/>
        <v>52231.729999999996</v>
      </c>
      <c r="G40" s="6">
        <f t="shared" si="6"/>
        <v>57251.87</v>
      </c>
      <c r="H40" s="6">
        <f t="shared" si="6"/>
        <v>42721.69</v>
      </c>
      <c r="I40" s="6">
        <f t="shared" si="6"/>
        <v>60659.759999999995</v>
      </c>
      <c r="J40" s="6">
        <f t="shared" si="6"/>
        <v>48955.58</v>
      </c>
      <c r="K40" s="15">
        <f t="shared" si="6"/>
        <v>57073.430000000008</v>
      </c>
      <c r="L40" s="6">
        <f t="shared" si="0"/>
        <v>558602.70000000007</v>
      </c>
    </row>
    <row r="41" spans="1:12" x14ac:dyDescent="0.3">
      <c r="A41" s="3" t="s">
        <v>46</v>
      </c>
      <c r="B41" s="6">
        <f t="shared" ref="B41:K41" si="7">(B40)-(0)</f>
        <v>71638.52</v>
      </c>
      <c r="C41" s="6">
        <f t="shared" si="7"/>
        <v>60970.869999999995</v>
      </c>
      <c r="D41" s="6">
        <f t="shared" si="7"/>
        <v>55206.43</v>
      </c>
      <c r="E41" s="6">
        <f t="shared" si="7"/>
        <v>51892.819999999992</v>
      </c>
      <c r="F41" s="6">
        <f t="shared" si="7"/>
        <v>52231.729999999996</v>
      </c>
      <c r="G41" s="6">
        <f t="shared" si="7"/>
        <v>57251.87</v>
      </c>
      <c r="H41" s="6">
        <f t="shared" si="7"/>
        <v>42721.69</v>
      </c>
      <c r="I41" s="6">
        <f t="shared" si="7"/>
        <v>60659.759999999995</v>
      </c>
      <c r="J41" s="6">
        <f t="shared" si="7"/>
        <v>48955.58</v>
      </c>
      <c r="K41" s="15">
        <f t="shared" si="7"/>
        <v>57073.430000000008</v>
      </c>
      <c r="L41" s="6">
        <f t="shared" si="0"/>
        <v>558602.70000000007</v>
      </c>
    </row>
    <row r="42" spans="1:12" x14ac:dyDescent="0.3">
      <c r="A42" s="3" t="s">
        <v>47</v>
      </c>
      <c r="B42" s="4"/>
      <c r="C42" s="4"/>
      <c r="D42" s="4"/>
      <c r="E42" s="4"/>
      <c r="F42" s="4"/>
      <c r="G42" s="4"/>
      <c r="H42" s="4"/>
      <c r="I42" s="4"/>
      <c r="J42" s="4"/>
      <c r="K42" s="13"/>
      <c r="L42" s="4"/>
    </row>
    <row r="43" spans="1:12" x14ac:dyDescent="0.3">
      <c r="A43" s="3" t="s">
        <v>48</v>
      </c>
      <c r="B43" s="4"/>
      <c r="C43" s="4"/>
      <c r="D43" s="4"/>
      <c r="E43" s="4"/>
      <c r="F43" s="4"/>
      <c r="G43" s="4"/>
      <c r="H43" s="4"/>
      <c r="I43" s="4"/>
      <c r="J43" s="4"/>
      <c r="K43" s="13"/>
      <c r="L43" s="5">
        <f t="shared" ref="L43:L74" si="8">(((((((((B43)+(C43))+(D43))+(E43))+(F43))+(G43))+(H43))+(I43))+(J43))+(K43)</f>
        <v>0</v>
      </c>
    </row>
    <row r="44" spans="1:12" x14ac:dyDescent="0.3">
      <c r="A44" s="3" t="s">
        <v>49</v>
      </c>
      <c r="B44" s="5">
        <f>53.53</f>
        <v>53.53</v>
      </c>
      <c r="C44" s="5">
        <f>410.04</f>
        <v>410.04</v>
      </c>
      <c r="D44" s="5">
        <f>620.78</f>
        <v>620.78</v>
      </c>
      <c r="E44" s="5">
        <f>924.7</f>
        <v>924.7</v>
      </c>
      <c r="F44" s="5">
        <f>639.49</f>
        <v>639.49</v>
      </c>
      <c r="G44" s="5">
        <f>1018.94</f>
        <v>1018.94</v>
      </c>
      <c r="H44" s="5">
        <v>640.05999999999995</v>
      </c>
      <c r="I44" s="5">
        <f>1169.53</f>
        <v>1169.53</v>
      </c>
      <c r="J44" s="5">
        <f>221.59</f>
        <v>221.59</v>
      </c>
      <c r="K44" s="14">
        <f>3363.89</f>
        <v>3363.89</v>
      </c>
      <c r="L44" s="5">
        <f t="shared" si="8"/>
        <v>9062.5499999999993</v>
      </c>
    </row>
    <row r="45" spans="1:12" x14ac:dyDescent="0.3">
      <c r="A45" s="3" t="s">
        <v>50</v>
      </c>
      <c r="B45" s="4"/>
      <c r="C45" s="5">
        <f>1407.25</f>
        <v>1407.25</v>
      </c>
      <c r="D45" s="5">
        <f>6726.06</f>
        <v>6726.06</v>
      </c>
      <c r="E45" s="4"/>
      <c r="F45" s="4"/>
      <c r="G45" s="4"/>
      <c r="H45" s="4"/>
      <c r="I45" s="4"/>
      <c r="J45" s="5">
        <f>3582.74</f>
        <v>3582.74</v>
      </c>
      <c r="K45" s="13">
        <v>8898.2000000000007</v>
      </c>
      <c r="L45" s="5">
        <f t="shared" si="8"/>
        <v>20614.25</v>
      </c>
    </row>
    <row r="46" spans="1:12" x14ac:dyDescent="0.3">
      <c r="A46" s="8" t="s">
        <v>51</v>
      </c>
      <c r="B46" s="9"/>
      <c r="C46" s="9"/>
      <c r="D46" s="9"/>
      <c r="E46" s="9"/>
      <c r="F46" s="9"/>
      <c r="G46" s="9"/>
      <c r="H46" s="9"/>
      <c r="I46" s="9"/>
      <c r="J46" s="9"/>
      <c r="K46" s="14">
        <v>0</v>
      </c>
      <c r="L46" s="10">
        <f t="shared" si="8"/>
        <v>0</v>
      </c>
    </row>
    <row r="47" spans="1:12" x14ac:dyDescent="0.3">
      <c r="A47" s="8" t="s">
        <v>52</v>
      </c>
      <c r="B47" s="11">
        <f t="shared" ref="B47:K47" si="9">(B45)+(B46)</f>
        <v>0</v>
      </c>
      <c r="C47" s="11">
        <f t="shared" si="9"/>
        <v>1407.25</v>
      </c>
      <c r="D47" s="11">
        <f t="shared" si="9"/>
        <v>6726.06</v>
      </c>
      <c r="E47" s="11">
        <f t="shared" si="9"/>
        <v>0</v>
      </c>
      <c r="F47" s="11">
        <f t="shared" si="9"/>
        <v>0</v>
      </c>
      <c r="G47" s="11">
        <f t="shared" si="9"/>
        <v>0</v>
      </c>
      <c r="H47" s="11">
        <f t="shared" si="9"/>
        <v>0</v>
      </c>
      <c r="I47" s="11">
        <f t="shared" si="9"/>
        <v>0</v>
      </c>
      <c r="J47" s="11">
        <f t="shared" si="9"/>
        <v>3582.74</v>
      </c>
      <c r="K47" s="15">
        <f t="shared" si="9"/>
        <v>8898.2000000000007</v>
      </c>
      <c r="L47" s="11">
        <f t="shared" si="8"/>
        <v>20614.25</v>
      </c>
    </row>
    <row r="48" spans="1:12" x14ac:dyDescent="0.3">
      <c r="A48" s="3" t="s">
        <v>53</v>
      </c>
      <c r="B48" s="5">
        <v>0</v>
      </c>
      <c r="C48" s="4"/>
      <c r="D48" s="4"/>
      <c r="E48" s="4"/>
      <c r="F48" s="4"/>
      <c r="G48" s="4"/>
      <c r="H48" s="4"/>
      <c r="I48" s="4"/>
      <c r="J48" s="4"/>
      <c r="K48" s="13"/>
      <c r="L48" s="5">
        <f t="shared" si="8"/>
        <v>0</v>
      </c>
    </row>
    <row r="49" spans="1:12" x14ac:dyDescent="0.3">
      <c r="A49" s="3" t="s">
        <v>54</v>
      </c>
      <c r="B49" s="5">
        <v>0</v>
      </c>
      <c r="C49" s="4"/>
      <c r="D49" s="4"/>
      <c r="E49" s="4"/>
      <c r="F49" s="4"/>
      <c r="G49" s="4"/>
      <c r="H49" s="4"/>
      <c r="I49" s="4"/>
      <c r="J49" s="4"/>
      <c r="K49" s="13"/>
      <c r="L49" s="5">
        <f t="shared" si="8"/>
        <v>0</v>
      </c>
    </row>
    <row r="50" spans="1:12" x14ac:dyDescent="0.3">
      <c r="A50" s="3" t="s">
        <v>55</v>
      </c>
      <c r="B50" s="5">
        <v>0</v>
      </c>
      <c r="C50" s="4"/>
      <c r="D50" s="4"/>
      <c r="E50" s="4"/>
      <c r="F50" s="5">
        <f>1155</f>
        <v>1155</v>
      </c>
      <c r="G50" s="4"/>
      <c r="H50" s="4"/>
      <c r="I50" s="4"/>
      <c r="J50" s="4"/>
      <c r="K50" s="13"/>
      <c r="L50" s="5">
        <f t="shared" si="8"/>
        <v>1155</v>
      </c>
    </row>
    <row r="51" spans="1:12" x14ac:dyDescent="0.3">
      <c r="A51" s="3" t="s">
        <v>56</v>
      </c>
      <c r="B51" s="5">
        <f>1000</f>
        <v>1000</v>
      </c>
      <c r="C51" s="4"/>
      <c r="D51" s="4"/>
      <c r="E51" s="4"/>
      <c r="F51" s="5">
        <f>2000</f>
        <v>2000</v>
      </c>
      <c r="G51" s="4"/>
      <c r="H51" s="4"/>
      <c r="I51" s="4"/>
      <c r="J51" s="4"/>
      <c r="K51" s="14">
        <f>1000</f>
        <v>1000</v>
      </c>
      <c r="L51" s="5">
        <f t="shared" si="8"/>
        <v>4000</v>
      </c>
    </row>
    <row r="52" spans="1:12" x14ac:dyDescent="0.3">
      <c r="A52" s="3" t="s">
        <v>57</v>
      </c>
      <c r="B52" s="5">
        <v>0</v>
      </c>
      <c r="C52" s="4"/>
      <c r="D52" s="4"/>
      <c r="E52" s="4"/>
      <c r="F52" s="4"/>
      <c r="G52" s="4"/>
      <c r="H52" s="4"/>
      <c r="I52" s="4"/>
      <c r="J52" s="4"/>
      <c r="K52" s="13"/>
      <c r="L52" s="5">
        <f t="shared" si="8"/>
        <v>0</v>
      </c>
    </row>
    <row r="53" spans="1:12" x14ac:dyDescent="0.3">
      <c r="A53" s="3" t="s">
        <v>58</v>
      </c>
      <c r="B53" s="5">
        <v>0</v>
      </c>
      <c r="C53" s="4"/>
      <c r="D53" s="4"/>
      <c r="E53" s="4"/>
      <c r="F53" s="4"/>
      <c r="G53" s="4"/>
      <c r="H53" s="4"/>
      <c r="I53" s="4"/>
      <c r="J53" s="4"/>
      <c r="K53" s="13"/>
      <c r="L53" s="5">
        <f t="shared" si="8"/>
        <v>0</v>
      </c>
    </row>
    <row r="54" spans="1:12" x14ac:dyDescent="0.3">
      <c r="A54" s="3" t="s">
        <v>59</v>
      </c>
      <c r="B54" s="5">
        <v>0</v>
      </c>
      <c r="C54" s="4"/>
      <c r="D54" s="4"/>
      <c r="E54" s="4"/>
      <c r="F54" s="4"/>
      <c r="G54" s="4"/>
      <c r="H54" s="4"/>
      <c r="I54" s="4"/>
      <c r="J54" s="4"/>
      <c r="K54" s="13"/>
      <c r="L54" s="5">
        <f t="shared" si="8"/>
        <v>0</v>
      </c>
    </row>
    <row r="55" spans="1:12" x14ac:dyDescent="0.3">
      <c r="A55" s="3" t="s">
        <v>60</v>
      </c>
      <c r="B55" s="5">
        <v>0</v>
      </c>
      <c r="C55" s="4"/>
      <c r="D55" s="4"/>
      <c r="E55" s="4"/>
      <c r="F55" s="4"/>
      <c r="G55" s="4"/>
      <c r="H55" s="4"/>
      <c r="I55" s="4"/>
      <c r="J55" s="4"/>
      <c r="K55" s="14">
        <f>271.08</f>
        <v>271.08</v>
      </c>
      <c r="L55" s="5">
        <f t="shared" si="8"/>
        <v>271.08</v>
      </c>
    </row>
    <row r="56" spans="1:12" x14ac:dyDescent="0.3">
      <c r="A56" s="3" t="s">
        <v>61</v>
      </c>
      <c r="B56" s="5">
        <v>0</v>
      </c>
      <c r="C56" s="4"/>
      <c r="D56" s="4"/>
      <c r="E56" s="4"/>
      <c r="F56" s="4"/>
      <c r="G56" s="4"/>
      <c r="H56" s="5">
        <v>0</v>
      </c>
      <c r="I56" s="5">
        <f>255</f>
        <v>255</v>
      </c>
      <c r="J56" s="5">
        <f>490</f>
        <v>490</v>
      </c>
      <c r="K56" s="13"/>
      <c r="L56" s="5">
        <f t="shared" si="8"/>
        <v>745</v>
      </c>
    </row>
    <row r="57" spans="1:12" x14ac:dyDescent="0.3">
      <c r="A57" s="3" t="s">
        <v>62</v>
      </c>
      <c r="B57" s="5">
        <v>0</v>
      </c>
      <c r="C57" s="4"/>
      <c r="D57" s="4"/>
      <c r="E57" s="4"/>
      <c r="F57" s="4"/>
      <c r="G57" s="4"/>
      <c r="H57" s="4"/>
      <c r="I57" s="4"/>
      <c r="J57" s="4"/>
      <c r="K57" s="13"/>
      <c r="L57" s="5">
        <f t="shared" si="8"/>
        <v>0</v>
      </c>
    </row>
    <row r="58" spans="1:12" x14ac:dyDescent="0.3">
      <c r="A58" s="3" t="s">
        <v>63</v>
      </c>
      <c r="B58" s="5">
        <v>0</v>
      </c>
      <c r="C58" s="4"/>
      <c r="D58" s="5">
        <f>3349.8</f>
        <v>3349.8</v>
      </c>
      <c r="E58" s="4"/>
      <c r="F58" s="4"/>
      <c r="G58" s="5">
        <f>1314.01</f>
        <v>1314.01</v>
      </c>
      <c r="H58" s="4"/>
      <c r="I58" s="5">
        <f>428.95</f>
        <v>428.95</v>
      </c>
      <c r="J58" s="5">
        <f>1300</f>
        <v>1300</v>
      </c>
      <c r="K58" s="14">
        <f>2087.91</f>
        <v>2087.91</v>
      </c>
      <c r="L58" s="5">
        <f t="shared" si="8"/>
        <v>8480.67</v>
      </c>
    </row>
    <row r="59" spans="1:12" x14ac:dyDescent="0.3">
      <c r="A59" s="3" t="s">
        <v>64</v>
      </c>
      <c r="B59" s="5">
        <v>0</v>
      </c>
      <c r="C59" s="4"/>
      <c r="D59" s="4"/>
      <c r="E59" s="4"/>
      <c r="F59" s="4"/>
      <c r="G59" s="4"/>
      <c r="H59" s="4"/>
      <c r="I59" s="4"/>
      <c r="J59" s="4"/>
      <c r="K59" s="13"/>
      <c r="L59" s="5">
        <f t="shared" si="8"/>
        <v>0</v>
      </c>
    </row>
    <row r="60" spans="1:12" x14ac:dyDescent="0.3">
      <c r="A60" s="3" t="s">
        <v>65</v>
      </c>
      <c r="B60" s="5">
        <v>0</v>
      </c>
      <c r="C60" s="4"/>
      <c r="D60" s="4"/>
      <c r="E60" s="4"/>
      <c r="F60" s="4"/>
      <c r="G60" s="4"/>
      <c r="H60" s="4"/>
      <c r="I60" s="4"/>
      <c r="J60" s="4"/>
      <c r="K60" s="13"/>
      <c r="L60" s="5">
        <f t="shared" si="8"/>
        <v>0</v>
      </c>
    </row>
    <row r="61" spans="1:12" x14ac:dyDescent="0.3">
      <c r="A61" s="3" t="s">
        <v>66</v>
      </c>
      <c r="B61" s="5">
        <f>1450</f>
        <v>1450</v>
      </c>
      <c r="C61" s="5">
        <f>215</f>
        <v>215</v>
      </c>
      <c r="D61" s="4"/>
      <c r="E61" s="5">
        <f>780</f>
        <v>780</v>
      </c>
      <c r="F61" s="5">
        <f>240</f>
        <v>240</v>
      </c>
      <c r="G61" s="5">
        <f>3185</f>
        <v>3185</v>
      </c>
      <c r="H61" s="5">
        <f>5760</f>
        <v>5760</v>
      </c>
      <c r="I61" s="5">
        <f>315</f>
        <v>315</v>
      </c>
      <c r="J61" s="4"/>
      <c r="K61" s="14">
        <f>100</f>
        <v>100</v>
      </c>
      <c r="L61" s="5">
        <f t="shared" si="8"/>
        <v>12045</v>
      </c>
    </row>
    <row r="62" spans="1:12" x14ac:dyDescent="0.3">
      <c r="A62" s="3" t="s">
        <v>67</v>
      </c>
      <c r="B62" s="5">
        <v>0</v>
      </c>
      <c r="C62" s="4"/>
      <c r="D62" s="4"/>
      <c r="E62" s="4"/>
      <c r="F62" s="4"/>
      <c r="G62" s="4"/>
      <c r="H62" s="4"/>
      <c r="I62" s="4"/>
      <c r="J62" s="4"/>
      <c r="K62" s="13"/>
      <c r="L62" s="5">
        <f t="shared" si="8"/>
        <v>0</v>
      </c>
    </row>
    <row r="63" spans="1:12" x14ac:dyDescent="0.3">
      <c r="A63" s="3" t="s">
        <v>68</v>
      </c>
      <c r="B63" s="5">
        <v>0</v>
      </c>
      <c r="C63" s="4"/>
      <c r="D63" s="4"/>
      <c r="E63" s="4"/>
      <c r="F63" s="4"/>
      <c r="G63" s="4"/>
      <c r="H63" s="4"/>
      <c r="I63" s="4"/>
      <c r="J63" s="4"/>
      <c r="K63" s="13"/>
      <c r="L63" s="5">
        <f t="shared" si="8"/>
        <v>0</v>
      </c>
    </row>
    <row r="64" spans="1:12" x14ac:dyDescent="0.3">
      <c r="A64" s="3" t="s">
        <v>69</v>
      </c>
      <c r="B64" s="6">
        <f t="shared" ref="B64:K64" si="10">((((((((((((((((((B43)+(B44))+(B47))+(B48))+(B49))+(B50))+(B51))+(B52))+(B53))+(B54))+(B55))+(B56))+(B57))+(B58))+(B59))+(B60))+(B61))+(B62))+(B63)</f>
        <v>2503.5299999999997</v>
      </c>
      <c r="C64" s="6">
        <f t="shared" si="10"/>
        <v>2032.29</v>
      </c>
      <c r="D64" s="6">
        <f t="shared" si="10"/>
        <v>10696.64</v>
      </c>
      <c r="E64" s="6">
        <f t="shared" si="10"/>
        <v>1704.7</v>
      </c>
      <c r="F64" s="6">
        <f t="shared" si="10"/>
        <v>4034.49</v>
      </c>
      <c r="G64" s="6">
        <f t="shared" si="10"/>
        <v>5517.95</v>
      </c>
      <c r="H64" s="6">
        <f t="shared" si="10"/>
        <v>6400.0599999999995</v>
      </c>
      <c r="I64" s="6">
        <f t="shared" si="10"/>
        <v>2168.48</v>
      </c>
      <c r="J64" s="6">
        <f t="shared" si="10"/>
        <v>5594.33</v>
      </c>
      <c r="K64" s="15">
        <f t="shared" si="10"/>
        <v>15721.08</v>
      </c>
      <c r="L64" s="6">
        <f t="shared" si="8"/>
        <v>56373.55000000001</v>
      </c>
    </row>
    <row r="65" spans="1:12" x14ac:dyDescent="0.3">
      <c r="A65" s="3" t="s">
        <v>70</v>
      </c>
      <c r="B65" s="4"/>
      <c r="C65" s="4"/>
      <c r="D65" s="4"/>
      <c r="E65" s="4"/>
      <c r="F65" s="5">
        <f>105.5</f>
        <v>105.5</v>
      </c>
      <c r="G65" s="4"/>
      <c r="H65" s="4"/>
      <c r="I65" s="4"/>
      <c r="J65" s="4"/>
      <c r="K65" s="13"/>
      <c r="L65" s="5">
        <f t="shared" si="8"/>
        <v>105.5</v>
      </c>
    </row>
    <row r="66" spans="1:12" x14ac:dyDescent="0.3">
      <c r="A66" s="3" t="s">
        <v>71</v>
      </c>
      <c r="B66" s="5">
        <f>1672.98</f>
        <v>1672.98</v>
      </c>
      <c r="C66" s="5">
        <f>110.96</f>
        <v>110.96</v>
      </c>
      <c r="D66" s="5">
        <f>2469.42</f>
        <v>2469.42</v>
      </c>
      <c r="E66" s="4"/>
      <c r="F66" s="4"/>
      <c r="G66" s="4"/>
      <c r="H66" s="4"/>
      <c r="I66" s="5">
        <f>1686.13</f>
        <v>1686.13</v>
      </c>
      <c r="J66" s="5">
        <f>669.35</f>
        <v>669.35</v>
      </c>
      <c r="K66" s="14">
        <f>780</f>
        <v>780</v>
      </c>
      <c r="L66" s="5">
        <f t="shared" si="8"/>
        <v>7388.8400000000011</v>
      </c>
    </row>
    <row r="67" spans="1:12" x14ac:dyDescent="0.3">
      <c r="A67" s="3" t="s">
        <v>72</v>
      </c>
      <c r="B67" s="5">
        <f>367.98</f>
        <v>367.98</v>
      </c>
      <c r="C67" s="5">
        <f>772.12</f>
        <v>772.12</v>
      </c>
      <c r="D67" s="5">
        <f>341.61</f>
        <v>341.61</v>
      </c>
      <c r="E67" s="5">
        <f>486.95</f>
        <v>486.95</v>
      </c>
      <c r="F67" s="5">
        <f>103.32</f>
        <v>103.32</v>
      </c>
      <c r="G67" s="5">
        <v>577.75</v>
      </c>
      <c r="H67" s="5">
        <f>340.85</f>
        <v>340.85</v>
      </c>
      <c r="I67" s="4"/>
      <c r="J67" s="5">
        <f>64.89</f>
        <v>64.89</v>
      </c>
      <c r="K67" s="14">
        <f>739.77</f>
        <v>739.77</v>
      </c>
      <c r="L67" s="5">
        <f t="shared" si="8"/>
        <v>3795.24</v>
      </c>
    </row>
    <row r="68" spans="1:12" x14ac:dyDescent="0.3">
      <c r="A68" s="3" t="s">
        <v>73</v>
      </c>
      <c r="B68" s="5">
        <f>157.42</f>
        <v>157.41999999999999</v>
      </c>
      <c r="C68" s="5">
        <f>152.56</f>
        <v>152.56</v>
      </c>
      <c r="D68" s="5">
        <f>621.25</f>
        <v>621.25</v>
      </c>
      <c r="E68" s="5">
        <f>321.57</f>
        <v>321.57</v>
      </c>
      <c r="F68" s="5">
        <f>382.31</f>
        <v>382.31</v>
      </c>
      <c r="G68" s="5">
        <v>322.75</v>
      </c>
      <c r="H68" s="5">
        <f>581.63</f>
        <v>581.63</v>
      </c>
      <c r="I68" s="5">
        <f>49.1</f>
        <v>49.1</v>
      </c>
      <c r="J68" s="5">
        <f>142.12</f>
        <v>142.12</v>
      </c>
      <c r="K68" s="14">
        <f>1032.66</f>
        <v>1032.6600000000001</v>
      </c>
      <c r="L68" s="5">
        <f t="shared" si="8"/>
        <v>3763.37</v>
      </c>
    </row>
    <row r="69" spans="1:12" x14ac:dyDescent="0.3">
      <c r="A69" s="3" t="s">
        <v>74</v>
      </c>
      <c r="B69" s="5">
        <f>150.01</f>
        <v>150.01</v>
      </c>
      <c r="C69" s="5">
        <f>399.84</f>
        <v>399.84</v>
      </c>
      <c r="D69" s="5">
        <f>130.21</f>
        <v>130.21</v>
      </c>
      <c r="E69" s="5">
        <f>130.21</f>
        <v>130.21</v>
      </c>
      <c r="F69" s="5">
        <f>193.44</f>
        <v>193.44</v>
      </c>
      <c r="G69" s="5">
        <f>145.91</f>
        <v>145.91</v>
      </c>
      <c r="H69" s="5">
        <f>145.91</f>
        <v>145.91</v>
      </c>
      <c r="I69" s="5">
        <f>585.62</f>
        <v>585.62</v>
      </c>
      <c r="J69" s="5">
        <f>305.07</f>
        <v>305.07</v>
      </c>
      <c r="K69" s="14">
        <f>28.86</f>
        <v>28.86</v>
      </c>
      <c r="L69" s="5">
        <f t="shared" si="8"/>
        <v>2215.0800000000004</v>
      </c>
    </row>
    <row r="70" spans="1:12" x14ac:dyDescent="0.3">
      <c r="A70" s="3" t="s">
        <v>75</v>
      </c>
      <c r="B70" s="5">
        <f>241.15</f>
        <v>241.15</v>
      </c>
      <c r="C70" s="5">
        <f>41.7</f>
        <v>41.7</v>
      </c>
      <c r="D70" s="5">
        <f>34.75</f>
        <v>34.75</v>
      </c>
      <c r="E70" s="5">
        <f>225.7</f>
        <v>225.7</v>
      </c>
      <c r="F70" s="5">
        <f>187.65</f>
        <v>187.65</v>
      </c>
      <c r="G70" s="5">
        <f>222.4</f>
        <v>222.4</v>
      </c>
      <c r="H70" s="5">
        <f>166.8</f>
        <v>166.8</v>
      </c>
      <c r="I70" s="5">
        <f>159.85</f>
        <v>159.85</v>
      </c>
      <c r="J70" s="5">
        <f>125.1</f>
        <v>125.1</v>
      </c>
      <c r="K70" s="14">
        <f>179.5</f>
        <v>179.5</v>
      </c>
      <c r="L70" s="5">
        <f t="shared" si="8"/>
        <v>1584.5999999999997</v>
      </c>
    </row>
    <row r="71" spans="1:12" x14ac:dyDescent="0.3">
      <c r="A71" s="3" t="s">
        <v>76</v>
      </c>
      <c r="B71" s="5">
        <v>0</v>
      </c>
      <c r="C71" s="4"/>
      <c r="D71" s="4"/>
      <c r="E71" s="5">
        <f>64.52</f>
        <v>64.52</v>
      </c>
      <c r="F71" s="4"/>
      <c r="G71" s="4"/>
      <c r="H71" s="4"/>
      <c r="I71" s="4"/>
      <c r="J71" s="4"/>
      <c r="K71" s="13"/>
      <c r="L71" s="5">
        <f t="shared" si="8"/>
        <v>64.52</v>
      </c>
    </row>
    <row r="72" spans="1:12" x14ac:dyDescent="0.3">
      <c r="A72" s="3" t="s">
        <v>77</v>
      </c>
      <c r="B72" s="5">
        <v>0</v>
      </c>
      <c r="C72" s="4"/>
      <c r="D72" s="5">
        <f>173.2</f>
        <v>173.2</v>
      </c>
      <c r="E72" s="5">
        <f>86.6</f>
        <v>86.6</v>
      </c>
      <c r="F72" s="4"/>
      <c r="G72" s="5">
        <f>21.6</f>
        <v>21.6</v>
      </c>
      <c r="H72" s="5">
        <f>27.06</f>
        <v>27.06</v>
      </c>
      <c r="I72" s="4"/>
      <c r="J72" s="4"/>
      <c r="K72" s="13"/>
      <c r="L72" s="5">
        <f t="shared" si="8"/>
        <v>308.45999999999998</v>
      </c>
    </row>
    <row r="73" spans="1:12" x14ac:dyDescent="0.3">
      <c r="A73" s="3" t="s">
        <v>78</v>
      </c>
      <c r="B73" s="5">
        <v>0</v>
      </c>
      <c r="C73" s="4"/>
      <c r="D73" s="4"/>
      <c r="E73" s="5">
        <f>2598</f>
        <v>2598</v>
      </c>
      <c r="F73" s="4"/>
      <c r="G73" s="5">
        <f>2662.95</f>
        <v>2662.95</v>
      </c>
      <c r="H73" s="4"/>
      <c r="I73" s="5">
        <f>6495</f>
        <v>6495</v>
      </c>
      <c r="J73" s="4"/>
      <c r="K73" s="13"/>
      <c r="L73" s="5">
        <f t="shared" si="8"/>
        <v>11755.95</v>
      </c>
    </row>
    <row r="74" spans="1:12" x14ac:dyDescent="0.3">
      <c r="A74" s="3" t="s">
        <v>79</v>
      </c>
      <c r="B74" s="5">
        <f>165.15</f>
        <v>165.15</v>
      </c>
      <c r="C74" s="5">
        <f>394.66</f>
        <v>394.66</v>
      </c>
      <c r="D74" s="5">
        <f>34.49</f>
        <v>34.49</v>
      </c>
      <c r="E74" s="4"/>
      <c r="F74" s="4"/>
      <c r="G74" s="5">
        <f>107.4</f>
        <v>107.4</v>
      </c>
      <c r="H74" s="5">
        <f>9.99</f>
        <v>9.99</v>
      </c>
      <c r="I74" s="5">
        <f>79.29</f>
        <v>79.290000000000006</v>
      </c>
      <c r="J74" s="5">
        <f>106.31</f>
        <v>106.31</v>
      </c>
      <c r="K74" s="14">
        <f>180.31</f>
        <v>180.31</v>
      </c>
      <c r="L74" s="5">
        <f t="shared" si="8"/>
        <v>1077.5999999999999</v>
      </c>
    </row>
    <row r="75" spans="1:12" x14ac:dyDescent="0.3">
      <c r="A75" s="3" t="s">
        <v>80</v>
      </c>
      <c r="B75" s="5">
        <v>0</v>
      </c>
      <c r="C75" s="4"/>
      <c r="D75" s="4"/>
      <c r="E75" s="4"/>
      <c r="F75" s="4"/>
      <c r="G75" s="5">
        <v>65.010000000000005</v>
      </c>
      <c r="H75" s="4"/>
      <c r="I75" s="4"/>
      <c r="J75" s="4"/>
      <c r="K75" s="13"/>
      <c r="L75" s="5">
        <f t="shared" ref="L75:L110" si="11">(((((((((B75)+(C75))+(D75))+(E75))+(F75))+(G75))+(H75))+(I75))+(J75))+(K75)</f>
        <v>65.010000000000005</v>
      </c>
    </row>
    <row r="76" spans="1:12" x14ac:dyDescent="0.3">
      <c r="A76" s="3" t="s">
        <v>81</v>
      </c>
      <c r="B76" s="6">
        <f t="shared" ref="B76:K76" si="12">((((((((((B65)+(B66))+(B67))+(B68))+(B69))+(B70))+(B71))+(B72))+(B73))+(B74))+(B75)</f>
        <v>2754.6900000000005</v>
      </c>
      <c r="C76" s="6">
        <f t="shared" si="12"/>
        <v>1871.8400000000001</v>
      </c>
      <c r="D76" s="6">
        <f t="shared" si="12"/>
        <v>3804.93</v>
      </c>
      <c r="E76" s="6">
        <f t="shared" si="12"/>
        <v>3913.55</v>
      </c>
      <c r="F76" s="6">
        <f t="shared" si="12"/>
        <v>972.21999999999991</v>
      </c>
      <c r="G76" s="6">
        <f t="shared" si="12"/>
        <v>4125.7699999999995</v>
      </c>
      <c r="H76" s="6">
        <f t="shared" si="12"/>
        <v>1272.24</v>
      </c>
      <c r="I76" s="6">
        <f t="shared" si="12"/>
        <v>9054.9900000000016</v>
      </c>
      <c r="J76" s="6">
        <f t="shared" si="12"/>
        <v>1412.84</v>
      </c>
      <c r="K76" s="15">
        <f t="shared" si="12"/>
        <v>2941.1000000000004</v>
      </c>
      <c r="L76" s="6">
        <f t="shared" si="11"/>
        <v>32124.170000000006</v>
      </c>
    </row>
    <row r="77" spans="1:12" x14ac:dyDescent="0.3">
      <c r="A77" s="3" t="s">
        <v>82</v>
      </c>
      <c r="B77" s="4"/>
      <c r="C77" s="4"/>
      <c r="D77" s="4"/>
      <c r="E77" s="4"/>
      <c r="F77" s="4"/>
      <c r="G77" s="4"/>
      <c r="H77" s="4"/>
      <c r="I77" s="4"/>
      <c r="J77" s="4"/>
      <c r="K77" s="13"/>
      <c r="L77" s="5">
        <f t="shared" si="11"/>
        <v>0</v>
      </c>
    </row>
    <row r="78" spans="1:12" x14ac:dyDescent="0.3">
      <c r="A78" s="3" t="s">
        <v>83</v>
      </c>
      <c r="B78" s="5">
        <f>61.75</f>
        <v>61.75</v>
      </c>
      <c r="C78" s="4"/>
      <c r="D78" s="4"/>
      <c r="E78" s="4"/>
      <c r="F78" s="4"/>
      <c r="G78" s="4"/>
      <c r="H78" s="5">
        <f>125.48</f>
        <v>125.48</v>
      </c>
      <c r="I78" s="5">
        <f>10.81</f>
        <v>10.81</v>
      </c>
      <c r="J78" s="4"/>
      <c r="K78" s="14">
        <f>43.28</f>
        <v>43.28</v>
      </c>
      <c r="L78" s="5">
        <f t="shared" si="11"/>
        <v>241.32000000000002</v>
      </c>
    </row>
    <row r="79" spans="1:12" x14ac:dyDescent="0.3">
      <c r="A79" s="3" t="s">
        <v>84</v>
      </c>
      <c r="B79" s="5">
        <v>0</v>
      </c>
      <c r="C79" s="4"/>
      <c r="D79" s="4"/>
      <c r="E79" s="4"/>
      <c r="F79" s="5">
        <f>826.92</f>
        <v>826.92</v>
      </c>
      <c r="G79" s="4"/>
      <c r="H79" s="5">
        <v>1337.49</v>
      </c>
      <c r="I79" s="5">
        <v>57.33</v>
      </c>
      <c r="J79" s="5">
        <f>425.37</f>
        <v>425.37</v>
      </c>
      <c r="K79" s="14">
        <v>800</v>
      </c>
      <c r="L79" s="5">
        <f t="shared" si="11"/>
        <v>3447.1099999999997</v>
      </c>
    </row>
    <row r="80" spans="1:12" x14ac:dyDescent="0.3">
      <c r="A80" s="3" t="s">
        <v>85</v>
      </c>
      <c r="B80" s="5">
        <v>0</v>
      </c>
      <c r="C80" s="4"/>
      <c r="D80" s="4"/>
      <c r="E80" s="4"/>
      <c r="F80" s="5">
        <f>50</f>
        <v>50</v>
      </c>
      <c r="G80" s="5">
        <f>70</f>
        <v>70</v>
      </c>
      <c r="H80" s="4"/>
      <c r="I80" s="4"/>
      <c r="J80" s="5">
        <f>450</f>
        <v>450</v>
      </c>
      <c r="K80" s="13"/>
      <c r="L80" s="5">
        <f t="shared" si="11"/>
        <v>570</v>
      </c>
    </row>
    <row r="81" spans="1:12" x14ac:dyDescent="0.3">
      <c r="A81" s="3" t="s">
        <v>86</v>
      </c>
      <c r="B81" s="5">
        <v>0</v>
      </c>
      <c r="C81" s="4"/>
      <c r="D81" s="4"/>
      <c r="E81" s="5">
        <f>271.24</f>
        <v>271.24</v>
      </c>
      <c r="F81" s="4"/>
      <c r="G81" s="5">
        <f>498.92</f>
        <v>498.92</v>
      </c>
      <c r="H81" s="5">
        <f>81.19</f>
        <v>81.19</v>
      </c>
      <c r="I81" s="4"/>
      <c r="J81" s="4"/>
      <c r="K81" s="14">
        <f>214.31</f>
        <v>214.31</v>
      </c>
      <c r="L81" s="5">
        <f t="shared" si="11"/>
        <v>1065.6600000000001</v>
      </c>
    </row>
    <row r="82" spans="1:12" x14ac:dyDescent="0.3">
      <c r="A82" s="3" t="s">
        <v>87</v>
      </c>
      <c r="B82" s="5">
        <v>0</v>
      </c>
      <c r="C82" s="4"/>
      <c r="D82" s="4"/>
      <c r="E82" s="4"/>
      <c r="F82" s="5">
        <f>69.99</f>
        <v>69.989999999999995</v>
      </c>
      <c r="G82" s="5">
        <f>369.57</f>
        <v>369.57</v>
      </c>
      <c r="H82" s="5">
        <v>82.72</v>
      </c>
      <c r="I82" s="5">
        <f>468.33</f>
        <v>468.33</v>
      </c>
      <c r="J82" s="5">
        <v>196.65</v>
      </c>
      <c r="K82" s="13">
        <v>204</v>
      </c>
      <c r="L82" s="5">
        <f t="shared" si="11"/>
        <v>1391.26</v>
      </c>
    </row>
    <row r="83" spans="1:12" x14ac:dyDescent="0.3">
      <c r="A83" s="3" t="s">
        <v>88</v>
      </c>
      <c r="B83" s="5">
        <v>0</v>
      </c>
      <c r="C83" s="4"/>
      <c r="D83" s="4"/>
      <c r="E83" s="4"/>
      <c r="F83" s="4"/>
      <c r="G83" s="5">
        <f>100</f>
        <v>100</v>
      </c>
      <c r="H83" s="5">
        <f>41.33</f>
        <v>41.33</v>
      </c>
      <c r="I83" s="5">
        <f>21.08</f>
        <v>21.08</v>
      </c>
      <c r="J83" s="5">
        <f>58.41</f>
        <v>58.41</v>
      </c>
      <c r="K83" s="14">
        <f>43.29</f>
        <v>43.29</v>
      </c>
      <c r="L83" s="5">
        <f t="shared" si="11"/>
        <v>264.10999999999996</v>
      </c>
    </row>
    <row r="84" spans="1:12" x14ac:dyDescent="0.3">
      <c r="A84" s="3" t="s">
        <v>89</v>
      </c>
      <c r="B84" s="5">
        <f>130</f>
        <v>130</v>
      </c>
      <c r="C84" s="4"/>
      <c r="D84" s="5">
        <f>50</f>
        <v>50</v>
      </c>
      <c r="E84" s="5">
        <f>50</f>
        <v>50</v>
      </c>
      <c r="F84" s="4"/>
      <c r="G84" s="5">
        <f>95</f>
        <v>95</v>
      </c>
      <c r="H84" s="5">
        <f>62.54</f>
        <v>62.54</v>
      </c>
      <c r="I84" s="4"/>
      <c r="J84" s="5">
        <f>107.22</f>
        <v>107.22</v>
      </c>
      <c r="K84" s="13"/>
      <c r="L84" s="5">
        <f t="shared" si="11"/>
        <v>494.76</v>
      </c>
    </row>
    <row r="85" spans="1:12" x14ac:dyDescent="0.3">
      <c r="A85" s="3" t="s">
        <v>90</v>
      </c>
      <c r="B85" s="4"/>
      <c r="C85" s="5">
        <f>50</f>
        <v>50</v>
      </c>
      <c r="D85" s="4"/>
      <c r="E85" s="4"/>
      <c r="F85" s="4"/>
      <c r="G85" s="4"/>
      <c r="H85" s="5">
        <f>88</f>
        <v>88</v>
      </c>
      <c r="I85" s="5">
        <f>68</f>
        <v>68</v>
      </c>
      <c r="J85" s="4">
        <v>33.24</v>
      </c>
      <c r="K85" s="13"/>
      <c r="L85" s="5">
        <f t="shared" si="11"/>
        <v>239.24</v>
      </c>
    </row>
    <row r="86" spans="1:12" x14ac:dyDescent="0.3">
      <c r="A86" s="3" t="s">
        <v>91</v>
      </c>
      <c r="B86" s="5">
        <f>45</f>
        <v>45</v>
      </c>
      <c r="C86" s="5">
        <f>100</f>
        <v>100</v>
      </c>
      <c r="D86" s="5">
        <f>100</f>
        <v>100</v>
      </c>
      <c r="E86" s="5">
        <f>100</f>
        <v>100</v>
      </c>
      <c r="F86" s="5">
        <f>100</f>
        <v>100</v>
      </c>
      <c r="G86" s="5">
        <v>474.84</v>
      </c>
      <c r="H86" s="5">
        <f>250.9</f>
        <v>250.9</v>
      </c>
      <c r="I86" s="5">
        <f>307.17</f>
        <v>307.17</v>
      </c>
      <c r="J86" s="5">
        <v>100</v>
      </c>
      <c r="K86" s="14">
        <f>257.2</f>
        <v>257.2</v>
      </c>
      <c r="L86" s="5">
        <f t="shared" si="11"/>
        <v>1835.1100000000001</v>
      </c>
    </row>
    <row r="87" spans="1:12" x14ac:dyDescent="0.3">
      <c r="A87" s="3" t="s">
        <v>92</v>
      </c>
      <c r="B87" s="5">
        <f>125</f>
        <v>125</v>
      </c>
      <c r="C87" s="5">
        <f>125</f>
        <v>125</v>
      </c>
      <c r="D87" s="5">
        <f>125</f>
        <v>125</v>
      </c>
      <c r="E87" s="5">
        <f>125</f>
        <v>125</v>
      </c>
      <c r="F87" s="4"/>
      <c r="G87" s="5">
        <f>125</f>
        <v>125</v>
      </c>
      <c r="H87" s="5">
        <f>125</f>
        <v>125</v>
      </c>
      <c r="I87" s="5">
        <f>125</f>
        <v>125</v>
      </c>
      <c r="J87" s="4">
        <v>100</v>
      </c>
      <c r="K87" s="13"/>
      <c r="L87" s="5">
        <f t="shared" si="11"/>
        <v>975</v>
      </c>
    </row>
    <row r="88" spans="1:12" x14ac:dyDescent="0.3">
      <c r="A88" s="3" t="s">
        <v>93</v>
      </c>
      <c r="B88" s="6">
        <f t="shared" ref="B88:K88" si="13">((((((((((B77)+(B78))+(B79))+(B80))+(B81))+(B82))+(B83))+(B84))+(B85))+(B86))+(B87)</f>
        <v>361.75</v>
      </c>
      <c r="C88" s="6">
        <f t="shared" si="13"/>
        <v>275</v>
      </c>
      <c r="D88" s="6">
        <f t="shared" si="13"/>
        <v>275</v>
      </c>
      <c r="E88" s="6">
        <f t="shared" si="13"/>
        <v>546.24</v>
      </c>
      <c r="F88" s="6">
        <f t="shared" si="13"/>
        <v>1046.9099999999999</v>
      </c>
      <c r="G88" s="6">
        <f t="shared" si="13"/>
        <v>1733.33</v>
      </c>
      <c r="H88" s="6">
        <f t="shared" si="13"/>
        <v>2194.65</v>
      </c>
      <c r="I88" s="6">
        <f t="shared" si="13"/>
        <v>1057.72</v>
      </c>
      <c r="J88" s="6">
        <f t="shared" si="13"/>
        <v>1470.89</v>
      </c>
      <c r="K88" s="15">
        <f t="shared" si="13"/>
        <v>1562.08</v>
      </c>
      <c r="L88" s="6">
        <f t="shared" si="11"/>
        <v>10523.57</v>
      </c>
    </row>
    <row r="89" spans="1:12" x14ac:dyDescent="0.3">
      <c r="A89" s="3" t="s">
        <v>94</v>
      </c>
      <c r="B89" s="4"/>
      <c r="C89" s="4"/>
      <c r="D89" s="4"/>
      <c r="E89" s="4"/>
      <c r="F89" s="4"/>
      <c r="G89" s="4"/>
      <c r="H89" s="4"/>
      <c r="I89" s="4"/>
      <c r="J89" s="4"/>
      <c r="K89" s="13"/>
      <c r="L89" s="5">
        <f t="shared" si="11"/>
        <v>0</v>
      </c>
    </row>
    <row r="90" spans="1:12" x14ac:dyDescent="0.3">
      <c r="A90" s="3" t="s">
        <v>95</v>
      </c>
      <c r="B90" s="5">
        <v>0</v>
      </c>
      <c r="C90" s="4"/>
      <c r="D90" s="4"/>
      <c r="E90" s="4"/>
      <c r="F90" s="4"/>
      <c r="G90" s="4"/>
      <c r="H90" s="4"/>
      <c r="I90" s="4"/>
      <c r="J90" s="4"/>
      <c r="K90" s="13"/>
      <c r="L90" s="5">
        <f t="shared" si="11"/>
        <v>0</v>
      </c>
    </row>
    <row r="91" spans="1:12" x14ac:dyDescent="0.3">
      <c r="A91" s="3" t="s">
        <v>96</v>
      </c>
      <c r="B91" s="5">
        <f>1230.23</f>
        <v>1230.23</v>
      </c>
      <c r="C91" s="5">
        <f>1006.55</f>
        <v>1006.55</v>
      </c>
      <c r="D91" s="5">
        <f>1038.64</f>
        <v>1038.6400000000001</v>
      </c>
      <c r="E91" s="5">
        <f>589.83</f>
        <v>589.83000000000004</v>
      </c>
      <c r="F91" s="5">
        <f>89.84</f>
        <v>89.84</v>
      </c>
      <c r="G91" s="5">
        <f>178.79</f>
        <v>178.79</v>
      </c>
      <c r="H91" s="5">
        <f>91.68</f>
        <v>91.68</v>
      </c>
      <c r="I91" s="5">
        <f>104.02</f>
        <v>104.02</v>
      </c>
      <c r="J91" s="5">
        <f>104.74</f>
        <v>104.74</v>
      </c>
      <c r="K91" s="14">
        <f>104.02</f>
        <v>104.02</v>
      </c>
      <c r="L91" s="5">
        <f t="shared" si="11"/>
        <v>4538.3400000000011</v>
      </c>
    </row>
    <row r="92" spans="1:12" x14ac:dyDescent="0.3">
      <c r="A92" s="3" t="s">
        <v>97</v>
      </c>
      <c r="B92" s="5">
        <f>144.98</f>
        <v>144.97999999999999</v>
      </c>
      <c r="C92" s="5">
        <f>144.98</f>
        <v>144.97999999999999</v>
      </c>
      <c r="D92" s="5">
        <f>641.62</f>
        <v>641.62</v>
      </c>
      <c r="E92" s="5">
        <f>649.34</f>
        <v>649.34</v>
      </c>
      <c r="F92" s="5">
        <f>144.98</f>
        <v>144.97999999999999</v>
      </c>
      <c r="G92" s="5">
        <f>643.83</f>
        <v>643.83000000000004</v>
      </c>
      <c r="H92" s="5">
        <f>401.97</f>
        <v>401.97</v>
      </c>
      <c r="I92" s="5">
        <f>401.97</f>
        <v>401.97</v>
      </c>
      <c r="J92" s="5">
        <f>401.97</f>
        <v>401.97</v>
      </c>
      <c r="K92" s="14">
        <f>401.97</f>
        <v>401.97</v>
      </c>
      <c r="L92" s="5">
        <f t="shared" si="11"/>
        <v>3977.6100000000006</v>
      </c>
    </row>
    <row r="93" spans="1:12" x14ac:dyDescent="0.3">
      <c r="A93" s="3" t="s">
        <v>98</v>
      </c>
      <c r="B93" s="5">
        <f>360.64</f>
        <v>360.64</v>
      </c>
      <c r="C93" s="5">
        <f>670.3</f>
        <v>670.3</v>
      </c>
      <c r="D93" s="5">
        <f>357.4</f>
        <v>357.4</v>
      </c>
      <c r="E93" s="5">
        <f>654.94</f>
        <v>654.94000000000005</v>
      </c>
      <c r="F93" s="5">
        <f>348.48</f>
        <v>348.48</v>
      </c>
      <c r="G93" s="5">
        <f>495.29</f>
        <v>495.29</v>
      </c>
      <c r="H93" s="5">
        <f>496.51</f>
        <v>496.51</v>
      </c>
      <c r="I93" s="5">
        <f>1242.16</f>
        <v>1242.1600000000001</v>
      </c>
      <c r="J93" s="5">
        <f>496.51</f>
        <v>496.51</v>
      </c>
      <c r="K93" s="14">
        <f>346.75</f>
        <v>346.75</v>
      </c>
      <c r="L93" s="5">
        <f t="shared" si="11"/>
        <v>5468.9800000000005</v>
      </c>
    </row>
    <row r="94" spans="1:12" x14ac:dyDescent="0.3">
      <c r="A94" s="3" t="s">
        <v>99</v>
      </c>
      <c r="B94" s="5">
        <v>0</v>
      </c>
      <c r="C94" s="4"/>
      <c r="D94" s="4"/>
      <c r="E94" s="4"/>
      <c r="F94" s="4">
        <v>150</v>
      </c>
      <c r="G94" s="4"/>
      <c r="H94" s="4">
        <v>98.91</v>
      </c>
      <c r="I94" s="4"/>
      <c r="J94" s="4"/>
      <c r="K94" s="14">
        <f>92.95</f>
        <v>92.95</v>
      </c>
      <c r="L94" s="5">
        <f t="shared" si="11"/>
        <v>341.86</v>
      </c>
    </row>
    <row r="95" spans="1:12" x14ac:dyDescent="0.3">
      <c r="A95" s="3" t="s">
        <v>100</v>
      </c>
      <c r="B95" s="5">
        <f>480.41</f>
        <v>480.41</v>
      </c>
      <c r="C95" s="5">
        <f>354.72</f>
        <v>354.72</v>
      </c>
      <c r="D95" s="5">
        <f>81</f>
        <v>81</v>
      </c>
      <c r="E95" s="4"/>
      <c r="F95" s="4">
        <v>175</v>
      </c>
      <c r="G95" s="5">
        <f>1806.2</f>
        <v>1806.2</v>
      </c>
      <c r="H95" s="5">
        <v>1390</v>
      </c>
      <c r="I95" s="5">
        <f>509.3</f>
        <v>509.3</v>
      </c>
      <c r="J95" s="5">
        <f>81.57</f>
        <v>81.569999999999993</v>
      </c>
      <c r="K95" s="14">
        <f>398.07</f>
        <v>398.07</v>
      </c>
      <c r="L95" s="5">
        <f t="shared" si="11"/>
        <v>5276.2699999999995</v>
      </c>
    </row>
    <row r="96" spans="1:12" x14ac:dyDescent="0.3">
      <c r="A96" s="3" t="s">
        <v>101</v>
      </c>
      <c r="B96" s="5">
        <v>0</v>
      </c>
      <c r="C96" s="4"/>
      <c r="D96" s="4"/>
      <c r="E96" s="4"/>
      <c r="F96" s="4">
        <v>880</v>
      </c>
      <c r="G96" s="4"/>
      <c r="H96" s="4">
        <v>400</v>
      </c>
      <c r="I96" s="4"/>
      <c r="J96" s="4"/>
      <c r="K96" s="14">
        <f>30.05</f>
        <v>30.05</v>
      </c>
      <c r="L96" s="5">
        <f t="shared" si="11"/>
        <v>1310.05</v>
      </c>
    </row>
    <row r="97" spans="1:12" x14ac:dyDescent="0.3">
      <c r="A97" s="3" t="s">
        <v>102</v>
      </c>
      <c r="B97" s="5">
        <f>3090.02</f>
        <v>3090.02</v>
      </c>
      <c r="C97" s="5">
        <f>1644.61</f>
        <v>1644.61</v>
      </c>
      <c r="D97" s="5">
        <f>4239.01</f>
        <v>4239.01</v>
      </c>
      <c r="E97" s="5">
        <f>251.1</f>
        <v>251.1</v>
      </c>
      <c r="F97" s="5">
        <f>209.32</f>
        <v>209.32</v>
      </c>
      <c r="G97" s="4"/>
      <c r="H97" s="4">
        <v>300</v>
      </c>
      <c r="I97" s="4"/>
      <c r="J97" s="4"/>
      <c r="K97" s="14">
        <f>146.16</f>
        <v>146.16</v>
      </c>
      <c r="L97" s="5">
        <f t="shared" si="11"/>
        <v>9880.2199999999993</v>
      </c>
    </row>
    <row r="98" spans="1:12" x14ac:dyDescent="0.3">
      <c r="A98" s="3" t="s">
        <v>103</v>
      </c>
      <c r="B98" s="5">
        <v>0</v>
      </c>
      <c r="C98" s="4"/>
      <c r="D98" s="4"/>
      <c r="E98" s="5">
        <f>1493.33</f>
        <v>1493.33</v>
      </c>
      <c r="F98" s="5">
        <f>1487.44</f>
        <v>1487.44</v>
      </c>
      <c r="G98" s="4"/>
      <c r="H98" s="4">
        <v>1000</v>
      </c>
      <c r="I98" s="4"/>
      <c r="J98" s="4"/>
      <c r="K98" s="14">
        <f>830.36</f>
        <v>830.36</v>
      </c>
      <c r="L98" s="5">
        <f t="shared" si="11"/>
        <v>4811.13</v>
      </c>
    </row>
    <row r="99" spans="1:12" x14ac:dyDescent="0.3">
      <c r="A99" s="3" t="s">
        <v>104</v>
      </c>
      <c r="B99" s="5">
        <f>0.01</f>
        <v>0.01</v>
      </c>
      <c r="C99" s="4"/>
      <c r="D99" s="4"/>
      <c r="E99" s="5">
        <f>102.94</f>
        <v>102.94</v>
      </c>
      <c r="F99" s="5">
        <f>111.49</f>
        <v>111.49</v>
      </c>
      <c r="G99" s="4"/>
      <c r="H99" s="4">
        <v>200</v>
      </c>
      <c r="I99" s="4"/>
      <c r="J99" s="4"/>
      <c r="K99" s="14">
        <f>199.95</f>
        <v>199.95</v>
      </c>
      <c r="L99" s="5">
        <f t="shared" si="11"/>
        <v>614.39</v>
      </c>
    </row>
    <row r="100" spans="1:12" x14ac:dyDescent="0.3">
      <c r="A100" s="3" t="s">
        <v>105</v>
      </c>
      <c r="B100" s="5">
        <f>2415.76</f>
        <v>2415.7600000000002</v>
      </c>
      <c r="C100" s="4"/>
      <c r="D100" s="4"/>
      <c r="E100" s="5">
        <f>1031.94</f>
        <v>1031.94</v>
      </c>
      <c r="F100" s="5">
        <f>933.18</f>
        <v>933.18</v>
      </c>
      <c r="G100" s="5">
        <f>2971.32</f>
        <v>2971.32</v>
      </c>
      <c r="H100" s="5">
        <v>1169</v>
      </c>
      <c r="I100" s="5">
        <f>2347.51</f>
        <v>2347.5100000000002</v>
      </c>
      <c r="J100" s="5">
        <f>2907.27</f>
        <v>2907.27</v>
      </c>
      <c r="K100" s="14">
        <f>1321.88</f>
        <v>1321.88</v>
      </c>
      <c r="L100" s="5">
        <f t="shared" si="11"/>
        <v>15097.86</v>
      </c>
    </row>
    <row r="101" spans="1:12" x14ac:dyDescent="0.3">
      <c r="A101" s="3" t="s">
        <v>106</v>
      </c>
      <c r="B101" s="5">
        <v>0</v>
      </c>
      <c r="C101" s="4"/>
      <c r="D101" s="4"/>
      <c r="E101" s="4"/>
      <c r="F101" s="4"/>
      <c r="G101" s="4"/>
      <c r="H101" s="4"/>
      <c r="I101" s="4"/>
      <c r="J101" s="4"/>
      <c r="K101" s="13"/>
      <c r="L101" s="5">
        <f t="shared" si="11"/>
        <v>0</v>
      </c>
    </row>
    <row r="102" spans="1:12" x14ac:dyDescent="0.3">
      <c r="A102" s="3" t="s">
        <v>107</v>
      </c>
      <c r="B102" s="5">
        <v>0</v>
      </c>
      <c r="C102" s="4"/>
      <c r="D102" s="4"/>
      <c r="E102" s="4"/>
      <c r="F102" s="4"/>
      <c r="G102" s="4"/>
      <c r="H102" s="4"/>
      <c r="I102" s="4"/>
      <c r="J102" s="4"/>
      <c r="K102" s="13"/>
      <c r="L102" s="5">
        <f t="shared" si="11"/>
        <v>0</v>
      </c>
    </row>
    <row r="103" spans="1:12" x14ac:dyDescent="0.3">
      <c r="A103" s="3" t="s">
        <v>108</v>
      </c>
      <c r="B103" s="6">
        <f t="shared" ref="B103:K103" si="14">(((((((((((((B89)+(B90))+(B91))+(B92))+(B93))+(B94))+(B95))+(B96))+(B97))+(B98))+(B99))+(B100))+(B101))+(B102)</f>
        <v>7722.05</v>
      </c>
      <c r="C103" s="6">
        <f t="shared" si="14"/>
        <v>3821.16</v>
      </c>
      <c r="D103" s="6">
        <f t="shared" si="14"/>
        <v>6357.67</v>
      </c>
      <c r="E103" s="6">
        <f t="shared" si="14"/>
        <v>4773.42</v>
      </c>
      <c r="F103" s="6">
        <f t="shared" si="14"/>
        <v>4529.7299999999996</v>
      </c>
      <c r="G103" s="6">
        <f t="shared" si="14"/>
        <v>6095.43</v>
      </c>
      <c r="H103" s="6">
        <f t="shared" si="14"/>
        <v>5548.07</v>
      </c>
      <c r="I103" s="6">
        <f t="shared" si="14"/>
        <v>4604.9600000000009</v>
      </c>
      <c r="J103" s="6">
        <f t="shared" si="14"/>
        <v>3992.06</v>
      </c>
      <c r="K103" s="15">
        <f t="shared" si="14"/>
        <v>3872.16</v>
      </c>
      <c r="L103" s="6">
        <f t="shared" si="11"/>
        <v>51316.709999999992</v>
      </c>
    </row>
    <row r="104" spans="1:12" x14ac:dyDescent="0.3">
      <c r="A104" s="3" t="s">
        <v>109</v>
      </c>
      <c r="B104" s="4"/>
      <c r="C104" s="4"/>
      <c r="D104" s="4"/>
      <c r="E104" s="4"/>
      <c r="F104" s="4"/>
      <c r="G104" s="4"/>
      <c r="H104" s="4"/>
      <c r="I104" s="4"/>
      <c r="J104" s="4"/>
      <c r="K104" s="13"/>
      <c r="L104" s="5">
        <f t="shared" si="11"/>
        <v>0</v>
      </c>
    </row>
    <row r="105" spans="1:12" x14ac:dyDescent="0.3">
      <c r="A105" s="3" t="s">
        <v>110</v>
      </c>
      <c r="B105" s="5">
        <v>9179</v>
      </c>
      <c r="C105" s="5">
        <f>7553.2</f>
        <v>7553.2</v>
      </c>
      <c r="D105" s="5">
        <f>6609.83</f>
        <v>6609.83</v>
      </c>
      <c r="E105" s="5">
        <f>7337.2</f>
        <v>7337.2</v>
      </c>
      <c r="F105" s="5">
        <f>7273.2</f>
        <v>7273.2</v>
      </c>
      <c r="G105" s="5">
        <f>7465.2</f>
        <v>7465.2</v>
      </c>
      <c r="H105" s="5">
        <f>9532.68</f>
        <v>9532.68</v>
      </c>
      <c r="I105" s="5">
        <f>6885.7</f>
        <v>6885.7</v>
      </c>
      <c r="J105" s="5">
        <f>6885.7</f>
        <v>6885.7</v>
      </c>
      <c r="K105" s="14">
        <f>6125.96</f>
        <v>6125.96</v>
      </c>
      <c r="L105" s="5">
        <f t="shared" si="11"/>
        <v>74847.67</v>
      </c>
    </row>
    <row r="106" spans="1:12" x14ac:dyDescent="0.3">
      <c r="A106" s="3" t="s">
        <v>111</v>
      </c>
      <c r="B106" s="5">
        <f>7955.1</f>
        <v>7955.1</v>
      </c>
      <c r="C106" s="5">
        <f>4506.79</f>
        <v>4506.79</v>
      </c>
      <c r="D106" s="5">
        <f>4898.75</f>
        <v>4898.75</v>
      </c>
      <c r="E106" s="5">
        <f>4738.76</f>
        <v>4738.76</v>
      </c>
      <c r="F106" s="5">
        <f>4652.98</f>
        <v>4652.9799999999996</v>
      </c>
      <c r="G106" s="5">
        <v>4652.9799999999996</v>
      </c>
      <c r="H106" s="5">
        <f>6201.95</f>
        <v>6201.95</v>
      </c>
      <c r="I106" s="5">
        <f>3327.26</f>
        <v>3327.26</v>
      </c>
      <c r="J106" s="5">
        <f>3820.05</f>
        <v>3820.05</v>
      </c>
      <c r="K106" s="14">
        <f>4760.77</f>
        <v>4760.7700000000004</v>
      </c>
      <c r="L106" s="5">
        <f t="shared" si="11"/>
        <v>49515.39</v>
      </c>
    </row>
    <row r="107" spans="1:12" x14ac:dyDescent="0.3">
      <c r="A107" s="3" t="s">
        <v>112</v>
      </c>
      <c r="B107" s="5">
        <f>13947</f>
        <v>13947</v>
      </c>
      <c r="C107" s="5">
        <f>9017.4</f>
        <v>9017.4</v>
      </c>
      <c r="D107" s="5">
        <f>9457.83</f>
        <v>9457.83</v>
      </c>
      <c r="E107" s="5">
        <f>9183.6</f>
        <v>9183.6</v>
      </c>
      <c r="F107" s="5">
        <f>9426.6</f>
        <v>9426.6</v>
      </c>
      <c r="G107" s="5">
        <v>9426.6</v>
      </c>
      <c r="H107" s="5">
        <f>13936.99</f>
        <v>13936.99</v>
      </c>
      <c r="I107" s="5">
        <f>8505.68</f>
        <v>8505.68</v>
      </c>
      <c r="J107" s="5">
        <f>8910.41</f>
        <v>8910.41</v>
      </c>
      <c r="K107" s="14">
        <f>8927.07</f>
        <v>8927.07</v>
      </c>
      <c r="L107" s="5">
        <f t="shared" si="11"/>
        <v>100739.18000000002</v>
      </c>
    </row>
    <row r="108" spans="1:12" x14ac:dyDescent="0.3">
      <c r="A108" s="3" t="s">
        <v>113</v>
      </c>
      <c r="B108" s="5">
        <f>1765.5</f>
        <v>1765.5</v>
      </c>
      <c r="C108" s="5">
        <f>1262.25</f>
        <v>1262.25</v>
      </c>
      <c r="D108" s="5">
        <f>1196.25</f>
        <v>1196.25</v>
      </c>
      <c r="E108" s="5">
        <f>800.25</f>
        <v>800.25</v>
      </c>
      <c r="F108" s="5">
        <f>1163.25</f>
        <v>1163.25</v>
      </c>
      <c r="G108" s="5">
        <v>1163.25</v>
      </c>
      <c r="H108" s="5">
        <f>1831.5</f>
        <v>1831.5</v>
      </c>
      <c r="I108" s="5">
        <f>1200.38</f>
        <v>1200.3800000000001</v>
      </c>
      <c r="J108" s="5">
        <f>1197.38</f>
        <v>1197.3800000000001</v>
      </c>
      <c r="K108" s="14">
        <f>1138.88</f>
        <v>1138.8800000000001</v>
      </c>
      <c r="L108" s="5">
        <f t="shared" si="11"/>
        <v>12718.890000000003</v>
      </c>
    </row>
    <row r="109" spans="1:12" x14ac:dyDescent="0.3">
      <c r="A109" s="3" t="s">
        <v>114</v>
      </c>
      <c r="B109" s="5">
        <v>5825.19</v>
      </c>
      <c r="C109" s="5">
        <f>1799.7</f>
        <v>1799.7</v>
      </c>
      <c r="D109" s="5">
        <v>3856.39</v>
      </c>
      <c r="E109" s="5">
        <v>3737.8</v>
      </c>
      <c r="F109" s="5">
        <v>4755.53</v>
      </c>
      <c r="G109" s="5">
        <v>4755.53</v>
      </c>
      <c r="H109" s="5">
        <f>2407.98</f>
        <v>2407.98</v>
      </c>
      <c r="I109" s="5">
        <v>3406.28</v>
      </c>
      <c r="J109" s="5">
        <v>3068.34</v>
      </c>
      <c r="K109" s="14">
        <f>1485.64</f>
        <v>1485.64</v>
      </c>
      <c r="L109" s="5">
        <f t="shared" si="11"/>
        <v>35098.37999999999</v>
      </c>
    </row>
    <row r="110" spans="1:12" x14ac:dyDescent="0.3">
      <c r="A110" s="3" t="s">
        <v>115</v>
      </c>
      <c r="B110" s="5">
        <v>0</v>
      </c>
      <c r="C110" s="4"/>
      <c r="D110" s="4"/>
      <c r="E110" s="4"/>
      <c r="F110" s="4"/>
      <c r="G110" s="4"/>
      <c r="H110" s="4"/>
      <c r="I110" s="4"/>
      <c r="J110" s="4"/>
      <c r="K110" s="13"/>
      <c r="L110" s="5">
        <f t="shared" si="11"/>
        <v>0</v>
      </c>
    </row>
    <row r="111" spans="1:12" x14ac:dyDescent="0.3">
      <c r="A111" s="3" t="s">
        <v>116</v>
      </c>
      <c r="B111" s="6">
        <f t="shared" ref="B111:K111" si="15">((((((B104)+(B105))+(B106))+(B107))+(B108))+(B109))+(B110)</f>
        <v>38671.79</v>
      </c>
      <c r="C111" s="6">
        <f t="shared" si="15"/>
        <v>24139.34</v>
      </c>
      <c r="D111" s="6">
        <f t="shared" si="15"/>
        <v>26019.05</v>
      </c>
      <c r="E111" s="6">
        <f t="shared" si="15"/>
        <v>25797.609999999997</v>
      </c>
      <c r="F111" s="6">
        <f t="shared" si="15"/>
        <v>27271.559999999998</v>
      </c>
      <c r="G111" s="6">
        <f t="shared" si="15"/>
        <v>27463.559999999998</v>
      </c>
      <c r="H111" s="6">
        <f t="shared" si="15"/>
        <v>33911.100000000006</v>
      </c>
      <c r="I111" s="6">
        <f t="shared" si="15"/>
        <v>23325.3</v>
      </c>
      <c r="J111" s="6">
        <f t="shared" si="15"/>
        <v>23881.88</v>
      </c>
      <c r="K111" s="15">
        <f t="shared" si="15"/>
        <v>22438.32</v>
      </c>
      <c r="L111" s="6">
        <f t="shared" ref="L107:L133" si="16">(((((((((B111)+(C111))+(D111))+(E111))+(F111))+(G111))+(H111))+(I111))+(J111))+(K111)</f>
        <v>272919.51</v>
      </c>
    </row>
    <row r="112" spans="1:12" x14ac:dyDescent="0.3">
      <c r="A112" s="3" t="s">
        <v>117</v>
      </c>
      <c r="B112" s="5">
        <v>0</v>
      </c>
      <c r="C112" s="4"/>
      <c r="D112" s="4"/>
      <c r="E112" s="4"/>
      <c r="F112" s="4"/>
      <c r="G112" s="4"/>
      <c r="H112" s="4"/>
      <c r="I112" s="4"/>
      <c r="J112" s="23">
        <f>1698.31</f>
        <v>1698.31</v>
      </c>
      <c r="K112" s="13"/>
      <c r="L112" s="5">
        <f t="shared" si="16"/>
        <v>1698.31</v>
      </c>
    </row>
    <row r="113" spans="1:12" x14ac:dyDescent="0.3">
      <c r="A113" s="3" t="s">
        <v>118</v>
      </c>
      <c r="B113" s="5">
        <f>66.92</f>
        <v>66.92</v>
      </c>
      <c r="C113" s="4"/>
      <c r="D113" s="4"/>
      <c r="E113" s="4"/>
      <c r="F113" s="4"/>
      <c r="G113" s="4"/>
      <c r="H113" s="4"/>
      <c r="I113" s="5">
        <f>15.98</f>
        <v>15.98</v>
      </c>
      <c r="J113" s="5">
        <f>82.5</f>
        <v>82.5</v>
      </c>
      <c r="K113" s="13"/>
      <c r="L113" s="5">
        <f t="shared" si="16"/>
        <v>165.4</v>
      </c>
    </row>
    <row r="114" spans="1:12" x14ac:dyDescent="0.3">
      <c r="A114" s="3" t="s">
        <v>119</v>
      </c>
      <c r="B114" s="5">
        <v>0</v>
      </c>
      <c r="C114" s="4"/>
      <c r="D114" s="4"/>
      <c r="E114" s="4"/>
      <c r="F114" s="4"/>
      <c r="G114" s="4"/>
      <c r="H114" s="4"/>
      <c r="I114" s="4"/>
      <c r="J114" s="4"/>
      <c r="K114" s="13"/>
      <c r="L114" s="5">
        <f t="shared" si="16"/>
        <v>0</v>
      </c>
    </row>
    <row r="115" spans="1:12" x14ac:dyDescent="0.3">
      <c r="A115" s="8" t="s">
        <v>120</v>
      </c>
      <c r="B115" s="4"/>
      <c r="C115" s="4"/>
      <c r="D115" s="4"/>
      <c r="E115" s="4"/>
      <c r="F115" s="4"/>
      <c r="G115" s="4"/>
      <c r="H115" s="4"/>
      <c r="I115" s="4"/>
      <c r="J115" s="4"/>
      <c r="K115" s="13"/>
      <c r="L115" s="5">
        <f t="shared" si="16"/>
        <v>0</v>
      </c>
    </row>
    <row r="116" spans="1:12" x14ac:dyDescent="0.3">
      <c r="A116" s="8" t="s">
        <v>121</v>
      </c>
      <c r="B116" s="4"/>
      <c r="C116" s="4"/>
      <c r="D116" s="4"/>
      <c r="E116" s="4"/>
      <c r="F116" s="4"/>
      <c r="G116" s="4"/>
      <c r="H116" s="4"/>
      <c r="I116" s="4"/>
      <c r="J116" s="4"/>
      <c r="K116" s="14">
        <v>0</v>
      </c>
      <c r="L116" s="5">
        <f t="shared" si="16"/>
        <v>0</v>
      </c>
    </row>
    <row r="117" spans="1:12" x14ac:dyDescent="0.3">
      <c r="A117" s="8" t="s">
        <v>122</v>
      </c>
      <c r="B117" s="6">
        <f t="shared" ref="B117:K117" si="17">(B115)+(B116)</f>
        <v>0</v>
      </c>
      <c r="C117" s="6">
        <f t="shared" si="17"/>
        <v>0</v>
      </c>
      <c r="D117" s="6">
        <f t="shared" si="17"/>
        <v>0</v>
      </c>
      <c r="E117" s="6">
        <f t="shared" si="17"/>
        <v>0</v>
      </c>
      <c r="F117" s="6">
        <f t="shared" si="17"/>
        <v>0</v>
      </c>
      <c r="G117" s="6">
        <f t="shared" si="17"/>
        <v>0</v>
      </c>
      <c r="H117" s="6">
        <f t="shared" si="17"/>
        <v>0</v>
      </c>
      <c r="I117" s="6">
        <f t="shared" si="17"/>
        <v>0</v>
      </c>
      <c r="J117" s="6">
        <f t="shared" si="17"/>
        <v>0</v>
      </c>
      <c r="K117" s="15">
        <f t="shared" si="17"/>
        <v>0</v>
      </c>
      <c r="L117" s="6">
        <f t="shared" si="16"/>
        <v>0</v>
      </c>
    </row>
    <row r="118" spans="1:12" x14ac:dyDescent="0.3">
      <c r="A118" s="3" t="s">
        <v>123</v>
      </c>
      <c r="B118" s="4"/>
      <c r="C118" s="4"/>
      <c r="D118" s="4"/>
      <c r="E118" s="4"/>
      <c r="F118" s="4"/>
      <c r="G118" s="4"/>
      <c r="H118" s="4"/>
      <c r="I118" s="4"/>
      <c r="J118" s="4"/>
      <c r="K118" s="13"/>
      <c r="L118" s="5">
        <f t="shared" si="16"/>
        <v>0</v>
      </c>
    </row>
    <row r="119" spans="1:12" x14ac:dyDescent="0.3">
      <c r="A119" s="3" t="s">
        <v>124</v>
      </c>
      <c r="B119" s="5">
        <v>0</v>
      </c>
      <c r="C119" s="4"/>
      <c r="D119" s="4"/>
      <c r="E119" s="4"/>
      <c r="F119" s="4"/>
      <c r="G119" s="4"/>
      <c r="H119" s="5">
        <f>1152</f>
        <v>1152</v>
      </c>
      <c r="I119" s="4"/>
      <c r="J119" s="4"/>
      <c r="K119" s="13"/>
      <c r="L119" s="5">
        <f t="shared" si="16"/>
        <v>1152</v>
      </c>
    </row>
    <row r="120" spans="1:12" x14ac:dyDescent="0.3">
      <c r="A120" s="3" t="s">
        <v>125</v>
      </c>
      <c r="B120" s="5">
        <v>0</v>
      </c>
      <c r="C120" s="4"/>
      <c r="D120" s="4"/>
      <c r="E120" s="4"/>
      <c r="F120" s="4"/>
      <c r="G120" s="4"/>
      <c r="H120" s="4"/>
      <c r="I120" s="4"/>
      <c r="J120" s="4"/>
      <c r="K120" s="13"/>
      <c r="L120" s="5">
        <f t="shared" si="16"/>
        <v>0</v>
      </c>
    </row>
    <row r="121" spans="1:12" x14ac:dyDescent="0.3">
      <c r="A121" s="3" t="s">
        <v>126</v>
      </c>
      <c r="B121" s="4"/>
      <c r="C121" s="5">
        <f>300</f>
        <v>300</v>
      </c>
      <c r="D121" s="4"/>
      <c r="E121" s="4"/>
      <c r="F121" s="4"/>
      <c r="G121" s="4"/>
      <c r="H121" s="4"/>
      <c r="I121" s="4"/>
      <c r="J121" s="4"/>
      <c r="K121" s="13"/>
      <c r="L121" s="5">
        <f t="shared" si="16"/>
        <v>300</v>
      </c>
    </row>
    <row r="122" spans="1:12" x14ac:dyDescent="0.3">
      <c r="A122" s="3" t="s">
        <v>127</v>
      </c>
      <c r="B122" s="4"/>
      <c r="C122" s="5">
        <f>750</f>
        <v>750</v>
      </c>
      <c r="D122" s="4"/>
      <c r="E122" s="4"/>
      <c r="F122" s="4"/>
      <c r="G122" s="4"/>
      <c r="H122" s="4"/>
      <c r="I122" s="4"/>
      <c r="J122" s="4"/>
      <c r="K122" s="13"/>
      <c r="L122" s="5">
        <f t="shared" si="16"/>
        <v>750</v>
      </c>
    </row>
    <row r="123" spans="1:12" x14ac:dyDescent="0.3">
      <c r="A123" s="3" t="s">
        <v>128</v>
      </c>
      <c r="B123" s="5">
        <v>0</v>
      </c>
      <c r="C123" s="4"/>
      <c r="D123" s="4"/>
      <c r="E123" s="4"/>
      <c r="F123" s="4"/>
      <c r="G123" s="4"/>
      <c r="H123" s="4"/>
      <c r="I123" s="4"/>
      <c r="J123" s="4"/>
      <c r="K123" s="13"/>
      <c r="L123" s="5">
        <f t="shared" si="16"/>
        <v>0</v>
      </c>
    </row>
    <row r="124" spans="1:12" x14ac:dyDescent="0.3">
      <c r="A124" s="3" t="s">
        <v>129</v>
      </c>
      <c r="B124" s="5">
        <v>0</v>
      </c>
      <c r="C124" s="4"/>
      <c r="D124" s="4"/>
      <c r="E124" s="4"/>
      <c r="F124" s="4"/>
      <c r="G124" s="4"/>
      <c r="H124" s="4"/>
      <c r="I124" s="4"/>
      <c r="J124" s="4"/>
      <c r="K124" s="13"/>
      <c r="L124" s="5">
        <f t="shared" si="16"/>
        <v>0</v>
      </c>
    </row>
    <row r="125" spans="1:12" x14ac:dyDescent="0.3">
      <c r="A125" s="3" t="s">
        <v>130</v>
      </c>
      <c r="B125" s="5">
        <f>4468</f>
        <v>4468</v>
      </c>
      <c r="C125" s="5">
        <f>4468</f>
        <v>4468</v>
      </c>
      <c r="D125" s="5">
        <f>4468</f>
        <v>4468</v>
      </c>
      <c r="E125" s="5">
        <f>4537</f>
        <v>4537</v>
      </c>
      <c r="F125" s="5">
        <f>4468</f>
        <v>4468</v>
      </c>
      <c r="G125" s="5">
        <f>4468</f>
        <v>4468</v>
      </c>
      <c r="H125" s="5">
        <v>4468</v>
      </c>
      <c r="I125" s="5">
        <v>6468</v>
      </c>
      <c r="J125" s="5">
        <f>4612.76</f>
        <v>4612.76</v>
      </c>
      <c r="K125" s="14">
        <f>4468</f>
        <v>4468</v>
      </c>
      <c r="L125" s="5">
        <f t="shared" si="16"/>
        <v>46893.760000000002</v>
      </c>
    </row>
    <row r="126" spans="1:12" x14ac:dyDescent="0.3">
      <c r="A126" s="3" t="s">
        <v>131</v>
      </c>
      <c r="B126" s="6">
        <f t="shared" ref="B126:K126" si="18">(((((((B118)+(B119))+(B120))+(B121))+(B122))+(B123))+(B124))+(B125)</f>
        <v>4468</v>
      </c>
      <c r="C126" s="6">
        <f t="shared" si="18"/>
        <v>5518</v>
      </c>
      <c r="D126" s="6">
        <f t="shared" si="18"/>
        <v>4468</v>
      </c>
      <c r="E126" s="6">
        <f t="shared" si="18"/>
        <v>4537</v>
      </c>
      <c r="F126" s="6">
        <f t="shared" si="18"/>
        <v>4468</v>
      </c>
      <c r="G126" s="6">
        <f t="shared" si="18"/>
        <v>4468</v>
      </c>
      <c r="H126" s="6">
        <f t="shared" si="18"/>
        <v>5620</v>
      </c>
      <c r="I126" s="6">
        <f t="shared" si="18"/>
        <v>6468</v>
      </c>
      <c r="J126" s="6">
        <f t="shared" si="18"/>
        <v>4612.76</v>
      </c>
      <c r="K126" s="15">
        <f t="shared" si="18"/>
        <v>4468</v>
      </c>
      <c r="L126" s="6">
        <f t="shared" si="16"/>
        <v>49095.76</v>
      </c>
    </row>
    <row r="127" spans="1:12" x14ac:dyDescent="0.3">
      <c r="A127" s="3" t="s">
        <v>132</v>
      </c>
      <c r="B127" s="5">
        <f>323.75</f>
        <v>323.75</v>
      </c>
      <c r="C127" s="5">
        <f>239.6</f>
        <v>239.6</v>
      </c>
      <c r="D127" s="5">
        <f>336.1</f>
        <v>336.1</v>
      </c>
      <c r="E127" s="5">
        <f>240</f>
        <v>240</v>
      </c>
      <c r="F127" s="5">
        <f>289.35</f>
        <v>289.35000000000002</v>
      </c>
      <c r="G127" s="4"/>
      <c r="H127" s="5">
        <f>434.86</f>
        <v>434.86</v>
      </c>
      <c r="I127" s="5">
        <f>491.88</f>
        <v>491.88</v>
      </c>
      <c r="J127" s="4"/>
      <c r="K127" s="14">
        <f>165.16</f>
        <v>165.16</v>
      </c>
      <c r="L127" s="5">
        <f t="shared" si="16"/>
        <v>2520.7000000000003</v>
      </c>
    </row>
    <row r="128" spans="1:12" x14ac:dyDescent="0.3">
      <c r="A128" s="3" t="s">
        <v>133</v>
      </c>
      <c r="B128" s="5">
        <f>4399.18</f>
        <v>4399.18</v>
      </c>
      <c r="C128" s="5">
        <f>1565</f>
        <v>1565</v>
      </c>
      <c r="D128" s="5">
        <f>4473.98</f>
        <v>4473.9799999999996</v>
      </c>
      <c r="E128" s="5">
        <f>2168.89</f>
        <v>2168.89</v>
      </c>
      <c r="F128" s="5">
        <v>3905.5</v>
      </c>
      <c r="G128" s="5">
        <v>7533.85</v>
      </c>
      <c r="H128" s="5">
        <f>2176.61</f>
        <v>2176.61</v>
      </c>
      <c r="I128" s="5">
        <f>3814.72</f>
        <v>3814.72</v>
      </c>
      <c r="J128" s="5">
        <f>1607.4</f>
        <v>1607.4</v>
      </c>
      <c r="K128" s="14">
        <f>4885.42</f>
        <v>4885.42</v>
      </c>
      <c r="L128" s="5">
        <f t="shared" si="16"/>
        <v>36530.550000000003</v>
      </c>
    </row>
    <row r="129" spans="1:16" x14ac:dyDescent="0.3">
      <c r="A129" s="3" t="s">
        <v>134</v>
      </c>
      <c r="B129" s="5">
        <v>0</v>
      </c>
      <c r="C129" s="4"/>
      <c r="D129" s="5">
        <f>7364.06</f>
        <v>7364.06</v>
      </c>
      <c r="E129" s="4"/>
      <c r="F129" s="4"/>
      <c r="G129" s="4"/>
      <c r="H129" s="4"/>
      <c r="I129" s="4"/>
      <c r="J129" s="4"/>
      <c r="K129" s="13"/>
      <c r="L129" s="5">
        <f t="shared" si="16"/>
        <v>7364.06</v>
      </c>
    </row>
    <row r="130" spans="1:16" x14ac:dyDescent="0.3">
      <c r="A130" s="3" t="s">
        <v>135</v>
      </c>
      <c r="B130" s="5">
        <f>840.03</f>
        <v>840.03</v>
      </c>
      <c r="C130" s="5">
        <f>900.37</f>
        <v>900.37</v>
      </c>
      <c r="D130" s="5">
        <f>889.9</f>
        <v>889.9</v>
      </c>
      <c r="E130" s="5">
        <f>903.25</f>
        <v>903.25</v>
      </c>
      <c r="F130" s="5">
        <f>847.33</f>
        <v>847.33</v>
      </c>
      <c r="G130" s="5">
        <f>913.85</f>
        <v>913.85</v>
      </c>
      <c r="H130" s="5">
        <f>843.15</f>
        <v>843.15</v>
      </c>
      <c r="I130" s="5">
        <f>932.12</f>
        <v>932.12</v>
      </c>
      <c r="J130" s="5">
        <f>945.69</f>
        <v>945.69</v>
      </c>
      <c r="K130" s="14">
        <f>806.01</f>
        <v>806.01</v>
      </c>
      <c r="L130" s="5">
        <f t="shared" si="16"/>
        <v>8821.7000000000007</v>
      </c>
    </row>
    <row r="131" spans="1:16" x14ac:dyDescent="0.3">
      <c r="A131" s="3" t="s">
        <v>136</v>
      </c>
      <c r="B131" s="6">
        <f t="shared" ref="B131:K131" si="19">(((((((((((((B64)+(B76))+(B88))+(B103))+(B111))+(B112))+(B113))+(B114))+(B117))+(B126))+(B127))+(B128))+(B129))+(B130)</f>
        <v>62111.689999999995</v>
      </c>
      <c r="C131" s="6">
        <f t="shared" si="19"/>
        <v>40362.600000000006</v>
      </c>
      <c r="D131" s="6">
        <f t="shared" si="19"/>
        <v>64685.329999999994</v>
      </c>
      <c r="E131" s="6">
        <f t="shared" si="19"/>
        <v>44584.659999999996</v>
      </c>
      <c r="F131" s="6">
        <f t="shared" si="19"/>
        <v>47365.09</v>
      </c>
      <c r="G131" s="6">
        <f t="shared" si="19"/>
        <v>57851.739999999991</v>
      </c>
      <c r="H131" s="6">
        <f t="shared" si="19"/>
        <v>58400.740000000005</v>
      </c>
      <c r="I131" s="6">
        <f t="shared" si="19"/>
        <v>51934.15</v>
      </c>
      <c r="J131" s="6">
        <f t="shared" si="19"/>
        <v>45298.66</v>
      </c>
      <c r="K131" s="15">
        <f t="shared" si="19"/>
        <v>56859.330000000009</v>
      </c>
      <c r="L131" s="6">
        <f t="shared" si="16"/>
        <v>529453.99</v>
      </c>
    </row>
    <row r="132" spans="1:16" x14ac:dyDescent="0.3">
      <c r="A132" s="3" t="s">
        <v>137</v>
      </c>
      <c r="B132" s="18">
        <f t="shared" ref="B132:K132" si="20">(B41)-(B131)</f>
        <v>9526.830000000009</v>
      </c>
      <c r="C132" s="18">
        <f t="shared" si="20"/>
        <v>20608.26999999999</v>
      </c>
      <c r="D132" s="18">
        <f t="shared" si="20"/>
        <v>-9478.8999999999942</v>
      </c>
      <c r="E132" s="18">
        <f t="shared" si="20"/>
        <v>7308.1599999999962</v>
      </c>
      <c r="F132" s="18">
        <f t="shared" si="20"/>
        <v>4866.6399999999994</v>
      </c>
      <c r="G132" s="18">
        <f t="shared" si="20"/>
        <v>-599.86999999998807</v>
      </c>
      <c r="H132" s="18">
        <f t="shared" si="20"/>
        <v>-15679.050000000003</v>
      </c>
      <c r="I132" s="18">
        <f t="shared" si="20"/>
        <v>8725.6099999999933</v>
      </c>
      <c r="J132" s="18">
        <f t="shared" si="20"/>
        <v>3656.9199999999983</v>
      </c>
      <c r="K132" s="19">
        <f t="shared" si="20"/>
        <v>214.09999999999854</v>
      </c>
      <c r="L132" s="18">
        <f t="shared" si="16"/>
        <v>29148.71</v>
      </c>
    </row>
    <row r="133" spans="1:16" x14ac:dyDescent="0.3">
      <c r="A133" s="32" t="s">
        <v>143</v>
      </c>
      <c r="B133" s="7">
        <f t="shared" ref="B133:K133" si="21">(B132)+(0)</f>
        <v>9526.830000000009</v>
      </c>
      <c r="C133" s="7">
        <f t="shared" si="21"/>
        <v>20608.26999999999</v>
      </c>
      <c r="D133" s="7">
        <f t="shared" si="21"/>
        <v>-9478.8999999999942</v>
      </c>
      <c r="E133" s="7">
        <f t="shared" si="21"/>
        <v>7308.1599999999962</v>
      </c>
      <c r="F133" s="7">
        <f t="shared" si="21"/>
        <v>4866.6399999999994</v>
      </c>
      <c r="G133" s="7">
        <f t="shared" si="21"/>
        <v>-599.86999999998807</v>
      </c>
      <c r="H133" s="7">
        <f t="shared" si="21"/>
        <v>-15679.050000000003</v>
      </c>
      <c r="I133" s="7">
        <f t="shared" si="21"/>
        <v>8725.6099999999933</v>
      </c>
      <c r="J133" s="7">
        <f t="shared" si="21"/>
        <v>3656.9199999999983</v>
      </c>
      <c r="K133" s="16">
        <f t="shared" si="21"/>
        <v>214.09999999999854</v>
      </c>
      <c r="L133" s="7">
        <f t="shared" si="16"/>
        <v>29148.71</v>
      </c>
      <c r="N133" s="33" t="s">
        <v>144</v>
      </c>
      <c r="O133" s="33"/>
      <c r="P133" s="33"/>
    </row>
    <row r="134" spans="1:16" x14ac:dyDescent="0.3">
      <c r="A134" s="3"/>
      <c r="B134" s="4">
        <v>9526.830000000009</v>
      </c>
      <c r="C134" s="4">
        <v>20608.26999999999</v>
      </c>
      <c r="D134" s="4">
        <v>-9478.8999999999942</v>
      </c>
      <c r="E134" s="4">
        <v>7308.1599999999962</v>
      </c>
      <c r="F134" s="4">
        <v>4866.6399999999994</v>
      </c>
      <c r="G134" s="4">
        <v>-599.86999999998807</v>
      </c>
      <c r="H134" s="4">
        <v>-15679.050000000003</v>
      </c>
      <c r="I134" s="4">
        <v>8725.6099999999933</v>
      </c>
      <c r="J134" s="4">
        <v>3656.9199999999983</v>
      </c>
      <c r="K134" s="13">
        <v>214.09999999999854</v>
      </c>
      <c r="L134" s="4">
        <v>29148.71</v>
      </c>
      <c r="N134" s="33"/>
      <c r="O134" s="33"/>
      <c r="P134" s="33"/>
    </row>
    <row r="135" spans="1:16" ht="15" thickBot="1" x14ac:dyDescent="0.35">
      <c r="B135" s="2" t="s">
        <v>0</v>
      </c>
      <c r="C135" s="2" t="s">
        <v>1</v>
      </c>
      <c r="D135" s="2" t="s">
        <v>2</v>
      </c>
      <c r="E135" s="2" t="s">
        <v>3</v>
      </c>
      <c r="F135" s="2" t="s">
        <v>4</v>
      </c>
      <c r="G135" s="2" t="s">
        <v>5</v>
      </c>
      <c r="H135" s="2" t="s">
        <v>6</v>
      </c>
      <c r="I135" s="2" t="s">
        <v>7</v>
      </c>
      <c r="J135" s="2" t="s">
        <v>8</v>
      </c>
      <c r="K135" s="12" t="s">
        <v>9</v>
      </c>
      <c r="L135" s="2" t="s">
        <v>10</v>
      </c>
      <c r="N135" s="33"/>
      <c r="O135" s="33"/>
      <c r="P135" s="33"/>
    </row>
    <row r="136" spans="1:16" ht="16.2" thickBot="1" x14ac:dyDescent="0.35">
      <c r="A136" s="29" t="s">
        <v>142</v>
      </c>
      <c r="B136" s="24">
        <v>9526.7400000000052</v>
      </c>
      <c r="C136" s="24">
        <v>20608.26999999999</v>
      </c>
      <c r="D136" s="24">
        <v>-9478.8999999999942</v>
      </c>
      <c r="E136" s="24">
        <v>7307.2099999999991</v>
      </c>
      <c r="F136" s="24">
        <v>4972.1400000000067</v>
      </c>
      <c r="G136" s="24">
        <v>-995.3099999999904</v>
      </c>
      <c r="H136" s="24">
        <v>-15679.950000000004</v>
      </c>
      <c r="I136" s="24">
        <v>8293.2699999999895</v>
      </c>
      <c r="J136" s="24">
        <v>3656.9199999999983</v>
      </c>
      <c r="K136" s="25"/>
      <c r="L136" s="25"/>
      <c r="M136" s="25"/>
      <c r="N136" s="33"/>
      <c r="O136" s="33"/>
      <c r="P136" s="33"/>
    </row>
    <row r="137" spans="1:16" x14ac:dyDescent="0.3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5"/>
      <c r="N137" s="33"/>
      <c r="O137" s="33"/>
      <c r="P137" s="33"/>
    </row>
    <row r="138" spans="1:16" ht="15.6" x14ac:dyDescent="0.3">
      <c r="A138" s="30" t="s">
        <v>141</v>
      </c>
      <c r="B138" s="28">
        <f>B134-B136</f>
        <v>9.0000000003783498E-2</v>
      </c>
      <c r="C138" s="28">
        <f t="shared" ref="C138:J138" si="22">C134-C136</f>
        <v>0</v>
      </c>
      <c r="D138" s="28">
        <f t="shared" si="22"/>
        <v>0</v>
      </c>
      <c r="E138" s="28">
        <f t="shared" si="22"/>
        <v>0.94999999999708962</v>
      </c>
      <c r="F138" s="28">
        <f t="shared" si="22"/>
        <v>-105.50000000000728</v>
      </c>
      <c r="G138" s="28">
        <f t="shared" si="22"/>
        <v>395.44000000000233</v>
      </c>
      <c r="H138" s="28">
        <f t="shared" si="22"/>
        <v>0.90000000000145519</v>
      </c>
      <c r="I138" s="28">
        <f t="shared" si="22"/>
        <v>432.34000000000378</v>
      </c>
      <c r="J138" s="28">
        <f t="shared" si="22"/>
        <v>0</v>
      </c>
      <c r="K138" s="28">
        <v>0</v>
      </c>
      <c r="L138" s="28">
        <f t="shared" ref="L138" si="23">(((((((((B138)+(C138))+(D138))+(E138))+(F138))+(G138))+(H138))+(I138))+(J138))+(K138)</f>
        <v>724.22000000000116</v>
      </c>
      <c r="M138" s="25"/>
      <c r="N138" s="33"/>
      <c r="O138" s="33"/>
      <c r="P138" s="33"/>
    </row>
    <row r="139" spans="1:16" x14ac:dyDescent="0.3">
      <c r="F139" s="31" t="s">
        <v>4</v>
      </c>
      <c r="G139" s="31" t="s">
        <v>5</v>
      </c>
      <c r="I139" s="31" t="s">
        <v>7</v>
      </c>
      <c r="N139" s="33"/>
      <c r="O139" s="33"/>
      <c r="P139" s="33"/>
    </row>
  </sheetData>
  <mergeCells count="1">
    <mergeCell ref="N133:P139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King</cp:lastModifiedBy>
  <cp:lastPrinted>2020-11-24T18:34:49Z</cp:lastPrinted>
  <dcterms:created xsi:type="dcterms:W3CDTF">2020-11-24T18:23:38Z</dcterms:created>
  <dcterms:modified xsi:type="dcterms:W3CDTF">2020-11-25T02:25:45Z</dcterms:modified>
</cp:coreProperties>
</file>